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660" yWindow="285" windowWidth="11355" windowHeight="7635" tabRatio="635"/>
  </bookViews>
  <sheets>
    <sheet name="(PE-RE1)จชต. กลุ่ม1-4" sheetId="64" r:id="rId1"/>
    <sheet name="(PE-RE2)จชต. กลุ่ม5-7" sheetId="61" r:id="rId2"/>
  </sheets>
  <calcPr calcId="124519"/>
  <fileRecoveryPr autoRecover="0"/>
</workbook>
</file>

<file path=xl/calcChain.xml><?xml version="1.0" encoding="utf-8"?>
<calcChain xmlns="http://schemas.openxmlformats.org/spreadsheetml/2006/main">
  <c r="AE21" i="64"/>
  <c r="AE22"/>
  <c r="Y22"/>
  <c r="Y21"/>
  <c r="AP22"/>
  <c r="AP17"/>
  <c r="AN28"/>
  <c r="AM28"/>
  <c r="AL28"/>
  <c r="AK28"/>
  <c r="AP28" s="1"/>
  <c r="AN23"/>
  <c r="AM23"/>
  <c r="AL23"/>
  <c r="AK23"/>
  <c r="AK18"/>
  <c r="AP18" s="1"/>
  <c r="AM27"/>
  <c r="AL27"/>
  <c r="AK27"/>
  <c r="AP27" s="1"/>
  <c r="AT35" s="1"/>
  <c r="AN22"/>
  <c r="AM22"/>
  <c r="AL22"/>
  <c r="AK22"/>
  <c r="AN17"/>
  <c r="AM17"/>
  <c r="AL17"/>
  <c r="AK17"/>
  <c r="AN26"/>
  <c r="AN21"/>
  <c r="AM21"/>
  <c r="AL21"/>
  <c r="AK21"/>
  <c r="AP21" s="1"/>
  <c r="AN16"/>
  <c r="AL16"/>
  <c r="AK16"/>
  <c r="AP16" s="1"/>
  <c r="AN25"/>
  <c r="AM25"/>
  <c r="AL25"/>
  <c r="AK25"/>
  <c r="AP25" s="1"/>
  <c r="AK20"/>
  <c r="AN15"/>
  <c r="AM15"/>
  <c r="AL15"/>
  <c r="AK15"/>
  <c r="AP15" s="1"/>
  <c r="K14" i="61"/>
  <c r="K13"/>
  <c r="K11"/>
  <c r="F41"/>
  <c r="D41"/>
  <c r="G41" s="1"/>
  <c r="W14"/>
  <c r="X14" s="1"/>
  <c r="V14"/>
  <c r="X12"/>
  <c r="X11"/>
  <c r="X10"/>
  <c r="AM12" l="1"/>
  <c r="AM13"/>
  <c r="AM11"/>
  <c r="AM10"/>
  <c r="AF12"/>
  <c r="Q12"/>
  <c r="AF11"/>
  <c r="Q11"/>
  <c r="O13"/>
  <c r="O12"/>
  <c r="O11"/>
  <c r="AV14"/>
  <c r="AU14"/>
  <c r="AJ12"/>
  <c r="AJ13"/>
  <c r="AJ11"/>
  <c r="AJ10"/>
  <c r="AD12"/>
  <c r="AD13"/>
  <c r="AD11"/>
  <c r="AD10"/>
  <c r="U13"/>
  <c r="U12"/>
  <c r="U11"/>
  <c r="U10"/>
  <c r="N12"/>
  <c r="N13"/>
  <c r="N11"/>
  <c r="O10"/>
  <c r="AP23" i="64"/>
  <c r="AT36" s="1"/>
  <c r="AP20"/>
  <c r="AT33" s="1"/>
  <c r="AF13" i="61" l="1"/>
  <c r="Q13"/>
  <c r="AF10"/>
  <c r="AN20" i="64"/>
  <c r="AM20"/>
  <c r="AL20"/>
  <c r="Q10" i="61"/>
  <c r="AB13" l="1"/>
  <c r="AA13"/>
  <c r="Z13"/>
  <c r="Y13"/>
  <c r="L13"/>
  <c r="AB12"/>
  <c r="AA12"/>
  <c r="Z12"/>
  <c r="Y12"/>
  <c r="L12"/>
  <c r="L10"/>
  <c r="AO20" i="64"/>
  <c r="H13" l="1"/>
  <c r="M13" s="1"/>
  <c r="H11"/>
  <c r="M11" s="1"/>
  <c r="H10"/>
  <c r="M10" s="1"/>
  <c r="G14"/>
  <c r="F10"/>
  <c r="D14"/>
  <c r="D19"/>
  <c r="D30" s="1"/>
  <c r="D24"/>
  <c r="D29"/>
  <c r="AE25"/>
  <c r="AH25" s="1"/>
  <c r="Y25"/>
  <c r="AB25" s="1"/>
  <c r="AE20"/>
  <c r="AH20" s="1"/>
  <c r="Y20"/>
  <c r="AB20" s="1"/>
  <c r="AE15"/>
  <c r="AH15" s="1"/>
  <c r="Y15"/>
  <c r="AB15" s="1"/>
  <c r="AE23" l="1"/>
  <c r="AH23" s="1"/>
  <c r="AG13" i="61"/>
  <c r="AG12"/>
  <c r="AG11"/>
  <c r="AG10"/>
  <c r="AB11"/>
  <c r="AA11"/>
  <c r="Z11"/>
  <c r="Y11"/>
  <c r="AB10"/>
  <c r="AA10"/>
  <c r="Z10"/>
  <c r="Y10"/>
  <c r="R13"/>
  <c r="R12"/>
  <c r="R11"/>
  <c r="R10"/>
  <c r="L11"/>
  <c r="F13"/>
  <c r="F12"/>
  <c r="G12" s="1"/>
  <c r="F11"/>
  <c r="F12" i="64" l="1"/>
  <c r="H12" l="1"/>
  <c r="M12" s="1"/>
  <c r="AE28"/>
  <c r="AH28" s="1"/>
  <c r="Y28"/>
  <c r="AB28" s="1"/>
  <c r="Y23"/>
  <c r="AB23" s="1"/>
  <c r="AN18"/>
  <c r="AM18"/>
  <c r="AL18"/>
  <c r="AE18"/>
  <c r="AH18" s="1"/>
  <c r="Y18"/>
  <c r="AB18" s="1"/>
  <c r="F11"/>
  <c r="F13"/>
  <c r="Y27"/>
  <c r="AB27" s="1"/>
  <c r="AE17"/>
  <c r="AH17" s="1"/>
  <c r="AE16"/>
  <c r="AH16" s="1"/>
  <c r="Y17"/>
  <c r="AB17" s="1"/>
  <c r="B29"/>
  <c r="B19"/>
  <c r="B14"/>
  <c r="A1" i="61"/>
  <c r="F14" i="64" l="1"/>
  <c r="B24"/>
  <c r="B30" s="1"/>
  <c r="AN27"/>
  <c r="AE27"/>
  <c r="AH27" s="1"/>
  <c r="AH22"/>
  <c r="AB22"/>
  <c r="AM16"/>
  <c r="AM26"/>
  <c r="AL26"/>
  <c r="AK26"/>
  <c r="AP26" s="1"/>
  <c r="AT34" s="1"/>
  <c r="AT37" s="1"/>
  <c r="AE26"/>
  <c r="AH26" s="1"/>
  <c r="AH29" s="1"/>
  <c r="Y26"/>
  <c r="AB26" s="1"/>
  <c r="AH21"/>
  <c r="AB21"/>
  <c r="Y16"/>
  <c r="AB16" s="1"/>
  <c r="H14" l="1"/>
  <c r="H30" s="1"/>
  <c r="I30"/>
  <c r="J30"/>
  <c r="K30"/>
  <c r="AP29"/>
  <c r="AS14" i="61"/>
  <c r="AP14"/>
  <c r="AT14" i="64"/>
  <c r="AU29"/>
  <c r="AU24"/>
  <c r="AU14"/>
  <c r="AU19"/>
  <c r="AR14" i="61" l="1"/>
  <c r="AU30" i="64"/>
  <c r="O14" l="1"/>
  <c r="O30" l="1"/>
  <c r="AI29"/>
  <c r="AI19"/>
  <c r="AC29"/>
  <c r="AG17"/>
  <c r="AL14" i="61" l="1"/>
  <c r="AM14" s="1"/>
  <c r="AE14"/>
  <c r="P14"/>
  <c r="J14"/>
  <c r="AI24" i="64"/>
  <c r="AI30" s="1"/>
  <c r="U14" i="61" l="1"/>
  <c r="N14" i="64"/>
  <c r="N30" s="1"/>
  <c r="AK14" i="61"/>
  <c r="I14"/>
  <c r="AQ24" i="64"/>
  <c r="AQ29"/>
  <c r="AR29" s="1"/>
  <c r="AQ19"/>
  <c r="AC24"/>
  <c r="AC19"/>
  <c r="AQ30" l="1"/>
  <c r="AC30"/>
  <c r="AO22"/>
  <c r="AF29"/>
  <c r="AF30" s="1"/>
  <c r="V13"/>
  <c r="V12"/>
  <c r="V10"/>
  <c r="Z29"/>
  <c r="Z30" s="1"/>
  <c r="AD14" i="61"/>
  <c r="AF14" s="1"/>
  <c r="AI12"/>
  <c r="AI13"/>
  <c r="AI11"/>
  <c r="AI10"/>
  <c r="T12"/>
  <c r="T13"/>
  <c r="T11"/>
  <c r="T10"/>
  <c r="H14"/>
  <c r="G13"/>
  <c r="G11"/>
  <c r="AO14" l="1"/>
  <c r="AJ14"/>
  <c r="L13" i="64"/>
  <c r="L44" s="1"/>
  <c r="AC13" i="61"/>
  <c r="AC12"/>
  <c r="D13" l="1"/>
  <c r="D12"/>
  <c r="D11"/>
  <c r="N10" l="1"/>
  <c r="AC11"/>
  <c r="C14"/>
  <c r="AI14"/>
  <c r="AH14"/>
  <c r="AG14"/>
  <c r="AN29" i="64"/>
  <c r="AG27"/>
  <c r="AG25"/>
  <c r="AA27"/>
  <c r="AA25"/>
  <c r="AO23"/>
  <c r="AN24"/>
  <c r="AM24"/>
  <c r="AL24"/>
  <c r="AG23"/>
  <c r="AG22"/>
  <c r="AG43" s="1"/>
  <c r="AG20"/>
  <c r="AA23"/>
  <c r="AA22"/>
  <c r="AA20"/>
  <c r="R30"/>
  <c r="S30"/>
  <c r="T30"/>
  <c r="V30"/>
  <c r="W30"/>
  <c r="X30"/>
  <c r="AN19"/>
  <c r="AM19"/>
  <c r="AL19"/>
  <c r="AG18"/>
  <c r="AA17"/>
  <c r="Q13"/>
  <c r="U13" s="1"/>
  <c r="Q12"/>
  <c r="U12" s="1"/>
  <c r="Q11"/>
  <c r="Q10"/>
  <c r="L11"/>
  <c r="L42" s="1"/>
  <c r="AA43" l="1"/>
  <c r="O14" i="61"/>
  <c r="Q14" s="1"/>
  <c r="AN30" i="64"/>
  <c r="AL29"/>
  <c r="AL30" s="1"/>
  <c r="Y19"/>
  <c r="AM29"/>
  <c r="AM30" s="1"/>
  <c r="L12"/>
  <c r="L43" s="1"/>
  <c r="AG16"/>
  <c r="AE19"/>
  <c r="AO21"/>
  <c r="AA28"/>
  <c r="AG26"/>
  <c r="AE29"/>
  <c r="AG28"/>
  <c r="AG44" s="1"/>
  <c r="AA18"/>
  <c r="AA44" s="1"/>
  <c r="AO17"/>
  <c r="AO18"/>
  <c r="AA21"/>
  <c r="AA24" s="1"/>
  <c r="Y24"/>
  <c r="AG21"/>
  <c r="AG24" s="1"/>
  <c r="AE24"/>
  <c r="AA26"/>
  <c r="Y29"/>
  <c r="AO26"/>
  <c r="AO27"/>
  <c r="AO28"/>
  <c r="AC10" i="61"/>
  <c r="L10" i="64"/>
  <c r="U10"/>
  <c r="Q30"/>
  <c r="AA15"/>
  <c r="AA41" s="1"/>
  <c r="AG15"/>
  <c r="AO15"/>
  <c r="AK19"/>
  <c r="AK24"/>
  <c r="AO25"/>
  <c r="AP40" s="1"/>
  <c r="AK29"/>
  <c r="U11"/>
  <c r="AA16"/>
  <c r="AO16"/>
  <c r="AA42" l="1"/>
  <c r="AA45" s="1"/>
  <c r="AS33"/>
  <c r="AP42"/>
  <c r="AS35"/>
  <c r="AG42"/>
  <c r="AS36"/>
  <c r="AP43"/>
  <c r="AS34"/>
  <c r="AS37" s="1"/>
  <c r="AP41"/>
  <c r="L41"/>
  <c r="L45" s="1"/>
  <c r="L14"/>
  <c r="AG19"/>
  <c r="AG41"/>
  <c r="AG45" s="1"/>
  <c r="AO24"/>
  <c r="AO29"/>
  <c r="AG29"/>
  <c r="AG30" s="1"/>
  <c r="AB24"/>
  <c r="AD24" s="1"/>
  <c r="AH19"/>
  <c r="AJ19" s="1"/>
  <c r="L30"/>
  <c r="AH24"/>
  <c r="AJ24" s="1"/>
  <c r="U30"/>
  <c r="AB19"/>
  <c r="AD19" s="1"/>
  <c r="AB29"/>
  <c r="AD29" s="1"/>
  <c r="AA29"/>
  <c r="Y30"/>
  <c r="AA19"/>
  <c r="AP24"/>
  <c r="AR24" s="1"/>
  <c r="M14"/>
  <c r="P14" s="1"/>
  <c r="AT24"/>
  <c r="AE30"/>
  <c r="AP19"/>
  <c r="AR19" s="1"/>
  <c r="AK30"/>
  <c r="AO19"/>
  <c r="AK45" l="1"/>
  <c r="AH30"/>
  <c r="AJ30" s="1"/>
  <c r="AT19"/>
  <c r="AO30"/>
  <c r="AA30"/>
  <c r="AT29"/>
  <c r="AB30"/>
  <c r="AD30" s="1"/>
  <c r="AP30"/>
  <c r="AR30" s="1"/>
  <c r="M30"/>
  <c r="P30" s="1"/>
  <c r="AT30" l="1"/>
  <c r="AA14" i="61"/>
  <c r="D14"/>
  <c r="B14"/>
  <c r="AB14"/>
  <c r="Z14"/>
  <c r="R14"/>
  <c r="M14"/>
  <c r="L14"/>
  <c r="Y14" l="1"/>
  <c r="S14"/>
  <c r="F14" l="1"/>
  <c r="E14"/>
  <c r="N14" l="1"/>
  <c r="T14"/>
  <c r="AC14"/>
  <c r="G14"/>
</calcChain>
</file>

<file path=xl/sharedStrings.xml><?xml version="1.0" encoding="utf-8"?>
<sst xmlns="http://schemas.openxmlformats.org/spreadsheetml/2006/main" count="227" uniqueCount="99">
  <si>
    <t>สำนักงานตรวจบัญชีสหกรณ์ที่ 9</t>
  </si>
  <si>
    <t>ไตรมาส</t>
  </si>
  <si>
    <t>รวม</t>
  </si>
  <si>
    <t>แผนงาน</t>
  </si>
  <si>
    <t>ภาพรวม</t>
  </si>
  <si>
    <t>นราธิวาส</t>
  </si>
  <si>
    <t>ปัตตานี</t>
  </si>
  <si>
    <t>ยะลา</t>
  </si>
  <si>
    <t>สงขลา</t>
  </si>
  <si>
    <t>สตส.</t>
  </si>
  <si>
    <t>แห่ง</t>
  </si>
  <si>
    <t>จำนวน</t>
  </si>
  <si>
    <t>จัดทำบัญชีไม่ได้</t>
  </si>
  <si>
    <t>ผลงาน</t>
  </si>
  <si>
    <t>คน</t>
  </si>
  <si>
    <t>ร้อยละ</t>
  </si>
  <si>
    <t>แผนสะสม</t>
  </si>
  <si>
    <t>ครั้ง</t>
  </si>
  <si>
    <t>สตท.</t>
  </si>
  <si>
    <t>จัดทำบัญชีได้แต่งบการเงินไม่ได้</t>
  </si>
  <si>
    <t>กลุ่มจัดทำบัญชีและงบการเงินได้ (Manual)</t>
  </si>
  <si>
    <t>สถานะกลุ่ม</t>
  </si>
  <si>
    <t>จัดทำบัญชีและงบการเงินได้ (Manual)</t>
  </si>
  <si>
    <t>ใช้ IT และเดินงานเป็นปัจจุบัน</t>
  </si>
  <si>
    <t>กลุ่มใช้ IT และเดินงานเป็นปัจจุบัน</t>
  </si>
  <si>
    <t>1. กิจกรรมเสริมสร้างความพร้อม  (สตส.)</t>
  </si>
  <si>
    <t>3. กิจกรรมเตือนภัยรายไตรมาส (สตส.)</t>
  </si>
  <si>
    <t>ติดตามประเมินผล</t>
  </si>
  <si>
    <t>กลุ่มจัดทำบัญชีและงบการเงินได้</t>
  </si>
  <si>
    <t>แผน</t>
  </si>
  <si>
    <t>ใช้ IT แต่ยังเดินงานไม่เป็นปัจจุบัน</t>
  </si>
  <si>
    <t>เดือน</t>
  </si>
  <si>
    <t>การดำเนินงาน</t>
  </si>
  <si>
    <t>อบรมพนักงานบัญชี</t>
  </si>
  <si>
    <t>กำกับแนะนำการจัดทำบัญชี</t>
  </si>
  <si>
    <t>ติดตามประเมินผลโครงการ</t>
  </si>
  <si>
    <t>กิจกรรมซักซ้อมจ้างเหมาบริการ  44 คน</t>
  </si>
  <si>
    <t>(1 คน : 4-5 แห่ง)</t>
  </si>
  <si>
    <t>นำความรู้ไปใช้ประโยชน์ (คน)</t>
  </si>
  <si>
    <t>นำความรู้ไปใช้ประโยชน์</t>
  </si>
  <si>
    <t>ไม่มีพนัก งานบัญชี</t>
  </si>
  <si>
    <t>(3 คน : 1 แห่ง)</t>
  </si>
  <si>
    <t>กลุ่มพัฒนาศักยภาพ</t>
  </si>
  <si>
    <t xml:space="preserve"> </t>
  </si>
  <si>
    <r>
      <t xml:space="preserve">กิจกรรมอบรมผู้จัดการ </t>
    </r>
    <r>
      <rPr>
        <b/>
        <sz val="11"/>
        <color rgb="FF0000FF"/>
        <rFont val="Tahoma"/>
        <family val="2"/>
      </rPr>
      <t>@ 1 คน</t>
    </r>
  </si>
  <si>
    <t>กิจกรรมจัดประชุม 3 ฝ่าย (สตส.)</t>
  </si>
  <si>
    <t xml:space="preserve"> - เสริมสร้างความพร้อมแก่สหกรณ์ แห่งละ 1 ครั้ง</t>
  </si>
  <si>
    <t xml:space="preserve"> - เข้าร่วมประชุมเตือนภัยรายไตรมาส ไตรมาสละ 1 ครั้ง</t>
  </si>
  <si>
    <t xml:space="preserve"> - กำกับแนะนำการจัดทำบัญชี  2 เดือน/ครั้ง</t>
  </si>
  <si>
    <t xml:space="preserve"> - กำกับแนะนำการจัดทำงบการเงิน  2 เดือน/ครั้ง</t>
  </si>
  <si>
    <r>
      <t xml:space="preserve">2. กิจกรรมอบรมสัมมนา 3 ฝ่าย  (สตท.) </t>
    </r>
    <r>
      <rPr>
        <b/>
        <sz val="11"/>
        <color rgb="FF0000FF"/>
        <rFont val="Tahoma"/>
        <family val="2"/>
      </rPr>
      <t>@4 คน  3 วัน</t>
    </r>
  </si>
  <si>
    <t>แผนอบรม</t>
  </si>
  <si>
    <t>ผลอบรม</t>
  </si>
  <si>
    <t>โครงการเสริมสร้างความเข้มแข็งของสหกรณ์และกลุ่มเกษตรกรในจังหวัดชายแดนภาคใต้ - กลุ่มเสริมสร้างความเข้มแข็งด้านการบัญชี   (PE - RE1)</t>
  </si>
  <si>
    <t>ซักซ้อมจ้างเหมาบริการ</t>
  </si>
  <si>
    <t>ไตรมาส 1</t>
  </si>
  <si>
    <t>ผลการซักซ้อม</t>
  </si>
  <si>
    <t>1.1 กลุ่มไม่มีพนักงานบัญชี  (63 แห่ง  282 คน)</t>
  </si>
  <si>
    <t xml:space="preserve"> - จัดประชุม 3 ฝ่าย  (แห่งละ 4-5 คน  1 วัน)</t>
  </si>
  <si>
    <t>1.2 กลุ่มจัดทำบัญชีไม่ได้  (23 แห่ง  92 คน)</t>
  </si>
  <si>
    <t xml:space="preserve"> - อบรมคณะกรรมการ  69 คน  (แห่งละ 3  คน  2 วัน)</t>
  </si>
  <si>
    <t xml:space="preserve"> - อบรมพนักงานบัญชี 23 คน (แห่งละ 1 คน  4 วัน)</t>
  </si>
  <si>
    <t>1.3 กลุ่มจัดทำบัญชีได้แต่จัดทำงบการเงินไม่ได้  (62 แห่ง  248 คน)</t>
  </si>
  <si>
    <t xml:space="preserve"> - อบรมคณะกรรมการ 186 คน (แห่งละ 2 คน  2 วัน)</t>
  </si>
  <si>
    <t xml:space="preserve"> - อบรมพนักงานบัญชี 62 คน  (แห่งละ 1 คน  4 วัน)</t>
  </si>
  <si>
    <t>1.4 กลุ่มใช้ IT แต่เดินงานไม่เป็นปัจจุบัน (18 แห่ง  72 คน)</t>
  </si>
  <si>
    <t xml:space="preserve"> - อบรมคณะกรรมการ  54 คน (แห่งละ 3 คน  3 วัน)</t>
  </si>
  <si>
    <t xml:space="preserve"> - อบรมพนักงานบัญชี  18 คน  (แห่งละ 1 คน  4 วัน)</t>
  </si>
  <si>
    <t>โครงการเสริมสร้างความเข้มแข็งของสหกรณ์และกลุ่มเกษตรกรในจังหวัดชายแดนภาคใต้ - กลุ่มพัฒนาศักยภาพการบริหารจัดการด้านการเงินการบัญชี (PE - RE2)</t>
  </si>
  <si>
    <t>2.1 กลุ่มจัดทำบัญชีและงบการเงินได้  - Manual  (11 แห่ง 55 คน)</t>
  </si>
  <si>
    <t xml:space="preserve"> - อบรมคณะกรรมการ  44 คน  (แห่งละ 4 คน  3 วัน)</t>
  </si>
  <si>
    <r>
      <t xml:space="preserve">  1 กิจกรรมอบรมคณะกรรมการ  (สตท.)      </t>
    </r>
    <r>
      <rPr>
        <b/>
        <sz val="11"/>
        <color rgb="FF0000FF"/>
        <rFont val="Tahoma"/>
        <family val="2"/>
      </rPr>
      <t>@4 คน</t>
    </r>
  </si>
  <si>
    <t>2.2 กลุ่มใช้ IT และเดินงานเป็นปัจจุบัน   (39 แห่ง  156 คน)</t>
  </si>
  <si>
    <t xml:space="preserve"> - อบรม/สัมมนา/ดูงาน  3 ฝ่าย  156 คน (แห่งละ 4 คน 3 วัน) ประกอบด้วย สหกรณ์ 2 คน, ผู้ตรวจสอบกิจการ 1 คน, ผู้สอบบัญชี 1 คน)</t>
  </si>
  <si>
    <t>2.3 กลุ่มพัฒนาศักยภาพการบริหารจัดการด้านการเงินการบัญชี (50 แห่ง  50 คน)</t>
  </si>
  <si>
    <t xml:space="preserve"> - อบรมผู้จัดการ 50 คน  (แห่งละ 1 คน  2 วัน)</t>
  </si>
  <si>
    <t>ok</t>
  </si>
  <si>
    <r>
      <t xml:space="preserve">กลุ่ม 3 </t>
    </r>
    <r>
      <rPr>
        <b/>
        <sz val="11"/>
        <color rgb="FF0000FF"/>
        <rFont val="Tahoma"/>
        <family val="2"/>
      </rPr>
      <t>(ไตรมาสละ 1 ครั้ง)</t>
    </r>
  </si>
  <si>
    <r>
      <t xml:space="preserve">กลุ่ม 2 / กลุ่ม 4 </t>
    </r>
    <r>
      <rPr>
        <b/>
        <sz val="11"/>
        <color rgb="FF0000FF"/>
        <rFont val="Tahoma"/>
        <family val="2"/>
      </rPr>
      <t xml:space="preserve">  (2 เดือน/ครั้ง)</t>
    </r>
  </si>
  <si>
    <t>คณะกรรมการ</t>
  </si>
  <si>
    <t>พนักงานบัญชี</t>
  </si>
  <si>
    <t>ประชุม 3 ฝ่าย</t>
  </si>
  <si>
    <t>อบรมคณะกรรมการ</t>
  </si>
  <si>
    <t xml:space="preserve"> ** แผน ม.ค. 59</t>
  </si>
  <si>
    <t xml:space="preserve"> ** แผน ธ.ค. 58</t>
  </si>
  <si>
    <t xml:space="preserve">   (กิจกรรมเสริมสร้างความพร้อม + กิจกรรมเตือนภัยรายไตรมาส)</t>
  </si>
  <si>
    <t>สหกรณ์</t>
  </si>
  <si>
    <t>ผู้สอบบัญชี</t>
  </si>
  <si>
    <t xml:space="preserve"> - สกย.บ้านใหม่ ตกแผนเนื่องจากผู้ตรวจสอบกิจการไม่ได้ทำหน้าที่ </t>
  </si>
  <si>
    <t>รายละเอียดแผนการปฏิบัติงานและความก้าวหน้าผลการปฏิบัติงาน ณ วันที่  31  มกราคม 2559</t>
  </si>
  <si>
    <t xml:space="preserve"> - สงขลา  กลุ่ม 2 อยู่ระหว่างคีย์ข้อมูล พนักงานบัญชีอีก 1 แห่ง ได้แก่กลุ่มเกษตรกรทำสวนบ้านนาปรังพัฒนา จำกัด (14234)</t>
  </si>
  <si>
    <t xml:space="preserve"> - ปัตตานี  กลุ่ม 3  อบรมคณะกรรมการเกินแผน 1 คน ได้แก่ สหกรณ์ผลเกษตรปัตตานี จำกัด (แผน 3 / ผล 4)</t>
  </si>
  <si>
    <t>*** ณ 2 ก.พ. 59  สหกรณ์อิสลามบีนา จำกัด (12602)  -- กลุ่ม 3  ย้ายจากปัตตานี มาจังหวัดยะลา</t>
  </si>
  <si>
    <t xml:space="preserve">ปัตตานี  ยังไม่ได้ตามแผน 2 ครั้งได้แก่สหกรณ์กองทุนสวนยางโคกพันตัน จำกัด (5807)  และสหกรณ์การเกษตรปิยาราตา-นทพ. จำกัด (18513) </t>
  </si>
  <si>
    <t>สงขลา ยังไม่ได้ตามแผน 2 ครั้ง ได้แก่สหกรณ์กองทุนสวนยางอ่าวขนมโค จำกัด (12164)  และสหกรณ์การเกษตรเกาะงุน-กะทิง จำกัด (17685)</t>
  </si>
  <si>
    <t>ยะลา ยังไม่ได้ตามแผน 1 ครั้ง ได้แก่สหกรณ์การเกษตรหมู่บ้านจุฬาภรณ์พัฒนา 9 จำกัด (4112)</t>
  </si>
  <si>
    <t>สงขลา ยังไม่ได้ตามแผน 2 ครั้ง ได้แก่สหกรณ์เครดิตยูเนี่ยนพัฒนาชุมชนบ้านปริก จำกัด (6747) และสหกรณ์เกษตรอินทรีย์นาทวี จำกัด (16526)</t>
  </si>
  <si>
    <t>ได้ผลงานครบแล้ว แต่ยอดรวมในระบบไม่ถูกต้อง</t>
  </si>
  <si>
    <t>สงขลา ยังไม่ได้ตามแผน 2 ครั้ง สหกรณ์กองทุนสวนยางทุ่งหรี่ จำกัด (4854) และสหกรณ์กองทุนสวนยางทุ่งลังพัฒนา จำกัด (10396)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</si>
</sst>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7">
    <font>
      <sz val="10"/>
      <name val="Arial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b/>
      <sz val="11"/>
      <color rgb="FF0000FF"/>
      <name val="Tahoma"/>
      <family val="2"/>
    </font>
    <font>
      <sz val="11"/>
      <color rgb="FF0000FF"/>
      <name val="Tahoma"/>
      <family val="2"/>
    </font>
    <font>
      <b/>
      <sz val="11"/>
      <color rgb="FFFF0000"/>
      <name val="Tahoma"/>
      <family val="2"/>
    </font>
    <font>
      <b/>
      <sz val="11"/>
      <color indexed="17"/>
      <name val="Tahoma"/>
      <family val="2"/>
    </font>
    <font>
      <b/>
      <u/>
      <sz val="11"/>
      <color rgb="FFFF0000"/>
      <name val="Tahoma"/>
      <family val="2"/>
    </font>
    <font>
      <b/>
      <sz val="11"/>
      <color rgb="FFC00000"/>
      <name val="Tahoma"/>
      <family val="2"/>
    </font>
    <font>
      <sz val="11"/>
      <color rgb="FFC00000"/>
      <name val="Tahoma"/>
      <family val="2"/>
    </font>
    <font>
      <b/>
      <u/>
      <sz val="11"/>
      <name val="Tahoma"/>
      <family val="2"/>
    </font>
    <font>
      <b/>
      <sz val="11"/>
      <color theme="1"/>
      <name val="Tahoma"/>
      <family val="2"/>
    </font>
    <font>
      <b/>
      <sz val="9"/>
      <name val="Tahoma"/>
      <family val="2"/>
    </font>
    <font>
      <b/>
      <u/>
      <sz val="11"/>
      <color rgb="FFC00000"/>
      <name val="Tahoma"/>
      <family val="2"/>
    </font>
    <font>
      <sz val="11"/>
      <color theme="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29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35"/>
      </patternFill>
    </fill>
    <fill>
      <patternFill patternType="solid">
        <fgColor indexed="9"/>
        <bgColor indexed="35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fgColor indexed="29"/>
        <bgColor theme="0" tint="-0.34998626667073579"/>
      </patternFill>
    </fill>
    <fill>
      <patternFill patternType="solid">
        <fgColor theme="0" tint="-0.34998626667073579"/>
        <bgColor indexed="35"/>
      </patternFill>
    </fill>
    <fill>
      <patternFill patternType="gray0625">
        <fgColor indexed="29"/>
        <bgColor theme="0" tint="-0.249977111117893"/>
      </patternFill>
    </fill>
    <fill>
      <patternFill patternType="solid">
        <fgColor theme="0" tint="-0.249977111117893"/>
        <bgColor indexed="35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5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35"/>
      </patternFill>
    </fill>
    <fill>
      <patternFill patternType="solid">
        <fgColor theme="2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DashDotDot">
        <color rgb="FFC00000"/>
      </right>
      <top/>
      <bottom/>
      <diagonal/>
    </border>
    <border>
      <left style="mediumDashDotDot">
        <color rgb="FFC00000"/>
      </left>
      <right/>
      <top style="mediumDashDotDot">
        <color rgb="FFC00000"/>
      </top>
      <bottom/>
      <diagonal/>
    </border>
    <border>
      <left/>
      <right/>
      <top style="mediumDashDotDot">
        <color rgb="FFC00000"/>
      </top>
      <bottom/>
      <diagonal/>
    </border>
    <border>
      <left/>
      <right style="mediumDashDotDot">
        <color rgb="FFC00000"/>
      </right>
      <top style="mediumDashDotDot">
        <color rgb="FFC00000"/>
      </top>
      <bottom/>
      <diagonal/>
    </border>
    <border>
      <left style="mediumDashDotDot">
        <color rgb="FFC00000"/>
      </left>
      <right/>
      <top/>
      <bottom/>
      <diagonal/>
    </border>
    <border>
      <left style="mediumDashDotDot">
        <color rgb="FFC00000"/>
      </left>
      <right/>
      <top/>
      <bottom style="mediumDashDotDot">
        <color rgb="FFC00000"/>
      </bottom>
      <diagonal/>
    </border>
    <border>
      <left/>
      <right/>
      <top/>
      <bottom style="mediumDashDotDot">
        <color rgb="FFC00000"/>
      </bottom>
      <diagonal/>
    </border>
    <border>
      <left/>
      <right style="mediumDashDotDot">
        <color rgb="FFC00000"/>
      </right>
      <top/>
      <bottom style="mediumDashDotDot">
        <color rgb="FFC0000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3" fillId="0" borderId="0" xfId="0" applyFont="1"/>
    <xf numFmtId="1" fontId="2" fillId="4" borderId="28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" fontId="2" fillId="8" borderId="5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0" fontId="8" fillId="0" borderId="0" xfId="0" applyFont="1"/>
    <xf numFmtId="0" fontId="3" fillId="0" borderId="7" xfId="0" applyFont="1" applyFill="1" applyBorder="1" applyAlignment="1">
      <alignment horizontal="center"/>
    </xf>
    <xf numFmtId="1" fontId="5" fillId="8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3" fontId="2" fillId="8" borderId="27" xfId="0" applyNumberFormat="1" applyFont="1" applyFill="1" applyBorder="1" applyAlignment="1">
      <alignment horizontal="center"/>
    </xf>
    <xf numFmtId="1" fontId="2" fillId="0" borderId="50" xfId="0" applyNumberFormat="1" applyFont="1" applyFill="1" applyBorder="1" applyAlignment="1">
      <alignment horizontal="center"/>
    </xf>
    <xf numFmtId="1" fontId="2" fillId="8" borderId="27" xfId="0" applyNumberFormat="1" applyFont="1" applyFill="1" applyBorder="1" applyAlignment="1">
      <alignment horizontal="center"/>
    </xf>
    <xf numFmtId="1" fontId="2" fillId="0" borderId="51" xfId="0" applyNumberFormat="1" applyFont="1" applyFill="1" applyBorder="1" applyAlignment="1">
      <alignment horizontal="center"/>
    </xf>
    <xf numFmtId="0" fontId="10" fillId="0" borderId="0" xfId="0" applyFont="1"/>
    <xf numFmtId="1" fontId="3" fillId="0" borderId="15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2" fillId="0" borderId="15" xfId="0" applyFont="1" applyBorder="1"/>
    <xf numFmtId="1" fontId="3" fillId="8" borderId="5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43" xfId="0" applyFont="1" applyBorder="1"/>
    <xf numFmtId="0" fontId="10" fillId="0" borderId="0" xfId="0" applyFont="1" applyBorder="1"/>
    <xf numFmtId="0" fontId="10" fillId="0" borderId="44" xfId="0" applyFont="1" applyBorder="1"/>
    <xf numFmtId="0" fontId="10" fillId="0" borderId="45" xfId="0" applyFont="1" applyBorder="1"/>
    <xf numFmtId="1" fontId="3" fillId="0" borderId="5" xfId="0" applyNumberFormat="1" applyFont="1" applyFill="1" applyBorder="1" applyAlignment="1">
      <alignment horizontal="center"/>
    </xf>
    <xf numFmtId="1" fontId="2" fillId="0" borderId="0" xfId="0" applyNumberFormat="1" applyFont="1"/>
    <xf numFmtId="0" fontId="2" fillId="0" borderId="0" xfId="0" applyFont="1" applyFill="1"/>
    <xf numFmtId="0" fontId="10" fillId="0" borderId="43" xfId="0" applyFont="1" applyBorder="1"/>
    <xf numFmtId="0" fontId="10" fillId="12" borderId="4" xfId="0" applyFont="1" applyFill="1" applyBorder="1" applyAlignment="1">
      <alignment horizontal="center"/>
    </xf>
    <xf numFmtId="0" fontId="10" fillId="12" borderId="5" xfId="0" applyFont="1" applyFill="1" applyBorder="1" applyAlignment="1">
      <alignment horizontal="center"/>
    </xf>
    <xf numFmtId="0" fontId="10" fillId="12" borderId="6" xfId="0" applyFont="1" applyFill="1" applyBorder="1" applyAlignment="1">
      <alignment horizontal="center"/>
    </xf>
    <xf numFmtId="0" fontId="10" fillId="12" borderId="53" xfId="0" applyFont="1" applyFill="1" applyBorder="1" applyAlignment="1">
      <alignment horizontal="center"/>
    </xf>
    <xf numFmtId="0" fontId="3" fillId="12" borderId="56" xfId="0" applyFont="1" applyFill="1" applyBorder="1" applyAlignment="1">
      <alignment horizontal="center"/>
    </xf>
    <xf numFmtId="0" fontId="3" fillId="12" borderId="53" xfId="0" applyFont="1" applyFill="1" applyBorder="1" applyAlignment="1">
      <alignment horizontal="center"/>
    </xf>
    <xf numFmtId="1" fontId="3" fillId="12" borderId="53" xfId="0" applyNumberFormat="1" applyFont="1" applyFill="1" applyBorder="1" applyAlignment="1">
      <alignment horizontal="center"/>
    </xf>
    <xf numFmtId="1" fontId="3" fillId="12" borderId="52" xfId="0" applyNumberFormat="1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1" fontId="3" fillId="12" borderId="6" xfId="0" applyNumberFormat="1" applyFont="1" applyFill="1" applyBorder="1" applyAlignment="1">
      <alignment horizontal="center"/>
    </xf>
    <xf numFmtId="0" fontId="10" fillId="12" borderId="17" xfId="0" applyFont="1" applyFill="1" applyBorder="1" applyAlignment="1">
      <alignment horizontal="center"/>
    </xf>
    <xf numFmtId="1" fontId="10" fillId="12" borderId="53" xfId="0" applyNumberFormat="1" applyFont="1" applyFill="1" applyBorder="1" applyAlignment="1">
      <alignment horizontal="center"/>
    </xf>
    <xf numFmtId="1" fontId="10" fillId="12" borderId="52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6" borderId="3" xfId="0" applyFont="1" applyFill="1" applyBorder="1" applyAlignment="1">
      <alignment horizontal="center"/>
    </xf>
    <xf numFmtId="1" fontId="3" fillId="6" borderId="3" xfId="0" applyNumberFormat="1" applyFont="1" applyFill="1" applyBorder="1" applyAlignment="1">
      <alignment horizontal="center"/>
    </xf>
    <xf numFmtId="0" fontId="12" fillId="0" borderId="0" xfId="0" applyFont="1"/>
    <xf numFmtId="0" fontId="7" fillId="0" borderId="0" xfId="0" applyFont="1" applyAlignment="1"/>
    <xf numFmtId="0" fontId="3" fillId="2" borderId="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 vertical="center" wrapText="1"/>
    </xf>
    <xf numFmtId="1" fontId="13" fillId="10" borderId="4" xfId="0" applyNumberFormat="1" applyFont="1" applyFill="1" applyBorder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13" fillId="10" borderId="5" xfId="0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1" fontId="13" fillId="10" borderId="6" xfId="0" applyNumberFormat="1" applyFont="1" applyFill="1" applyBorder="1" applyAlignment="1">
      <alignment horizontal="center"/>
    </xf>
    <xf numFmtId="1" fontId="13" fillId="0" borderId="6" xfId="0" applyNumberFormat="1" applyFont="1" applyFill="1" applyBorder="1" applyAlignment="1">
      <alignment horizontal="center"/>
    </xf>
    <xf numFmtId="1" fontId="13" fillId="0" borderId="15" xfId="0" applyNumberFormat="1" applyFont="1" applyFill="1" applyBorder="1" applyAlignment="1">
      <alignment horizontal="center"/>
    </xf>
    <xf numFmtId="1" fontId="13" fillId="10" borderId="15" xfId="0" applyNumberFormat="1" applyFont="1" applyFill="1" applyBorder="1" applyAlignment="1">
      <alignment horizontal="center"/>
    </xf>
    <xf numFmtId="1" fontId="3" fillId="10" borderId="5" xfId="0" applyNumberFormat="1" applyFont="1" applyFill="1" applyBorder="1" applyAlignment="1">
      <alignment horizontal="center"/>
    </xf>
    <xf numFmtId="3" fontId="2" fillId="0" borderId="0" xfId="0" applyNumberFormat="1" applyFont="1"/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12" fillId="0" borderId="0" xfId="0" applyFont="1" applyAlignment="1">
      <alignment horizontal="center"/>
    </xf>
    <xf numFmtId="0" fontId="3" fillId="5" borderId="12" xfId="0" applyFont="1" applyFill="1" applyBorder="1" applyAlignment="1">
      <alignment vertical="center" shrinkToFit="1"/>
    </xf>
    <xf numFmtId="1" fontId="2" fillId="0" borderId="25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4" fillId="11" borderId="4" xfId="0" applyNumberFormat="1" applyFont="1" applyFill="1" applyBorder="1" applyAlignment="1">
      <alignment horizontal="center"/>
    </xf>
    <xf numFmtId="1" fontId="2" fillId="11" borderId="4" xfId="0" applyNumberFormat="1" applyFont="1" applyFill="1" applyBorder="1" applyAlignment="1">
      <alignment horizontal="center"/>
    </xf>
    <xf numFmtId="1" fontId="2" fillId="14" borderId="28" xfId="0" applyNumberFormat="1" applyFont="1" applyFill="1" applyBorder="1" applyAlignment="1">
      <alignment horizontal="center"/>
    </xf>
    <xf numFmtId="1" fontId="3" fillId="11" borderId="15" xfId="0" applyNumberFormat="1" applyFont="1" applyFill="1" applyBorder="1" applyAlignment="1">
      <alignment horizontal="center"/>
    </xf>
    <xf numFmtId="3" fontId="2" fillId="11" borderId="50" xfId="0" applyNumberFormat="1" applyFont="1" applyFill="1" applyBorder="1" applyAlignment="1">
      <alignment horizontal="center"/>
    </xf>
    <xf numFmtId="1" fontId="2" fillId="11" borderId="22" xfId="0" applyNumberFormat="1" applyFont="1" applyFill="1" applyBorder="1" applyAlignment="1">
      <alignment horizontal="center"/>
    </xf>
    <xf numFmtId="1" fontId="2" fillId="11" borderId="50" xfId="0" applyNumberFormat="1" applyFont="1" applyFill="1" applyBorder="1" applyAlignment="1">
      <alignment horizontal="center"/>
    </xf>
    <xf numFmtId="1" fontId="2" fillId="11" borderId="17" xfId="0" applyNumberFormat="1" applyFont="1" applyFill="1" applyBorder="1" applyAlignment="1">
      <alignment horizontal="center"/>
    </xf>
    <xf numFmtId="1" fontId="2" fillId="11" borderId="15" xfId="0" applyNumberFormat="1" applyFont="1" applyFill="1" applyBorder="1" applyAlignment="1">
      <alignment horizontal="center"/>
    </xf>
    <xf numFmtId="1" fontId="2" fillId="11" borderId="5" xfId="0" applyNumberFormat="1" applyFont="1" applyFill="1" applyBorder="1" applyAlignment="1">
      <alignment horizontal="center"/>
    </xf>
    <xf numFmtId="1" fontId="2" fillId="14" borderId="26" xfId="0" applyNumberFormat="1" applyFont="1" applyFill="1" applyBorder="1" applyAlignment="1">
      <alignment horizontal="center"/>
    </xf>
    <xf numFmtId="1" fontId="3" fillId="15" borderId="5" xfId="0" applyNumberFormat="1" applyFont="1" applyFill="1" applyBorder="1" applyAlignment="1">
      <alignment horizontal="center"/>
    </xf>
    <xf numFmtId="3" fontId="2" fillId="15" borderId="27" xfId="0" applyNumberFormat="1" applyFont="1" applyFill="1" applyBorder="1" applyAlignment="1">
      <alignment horizontal="center"/>
    </xf>
    <xf numFmtId="1" fontId="2" fillId="11" borderId="20" xfId="0" applyNumberFormat="1" applyFont="1" applyFill="1" applyBorder="1" applyAlignment="1">
      <alignment horizontal="center"/>
    </xf>
    <xf numFmtId="1" fontId="2" fillId="15" borderId="27" xfId="0" applyNumberFormat="1" applyFont="1" applyFill="1" applyBorder="1" applyAlignment="1">
      <alignment horizontal="center"/>
    </xf>
    <xf numFmtId="1" fontId="2" fillId="15" borderId="5" xfId="0" applyNumberFormat="1" applyFont="1" applyFill="1" applyBorder="1" applyAlignment="1">
      <alignment horizontal="center"/>
    </xf>
    <xf numFmtId="1" fontId="4" fillId="11" borderId="5" xfId="0" applyNumberFormat="1" applyFont="1" applyFill="1" applyBorder="1" applyAlignment="1">
      <alignment horizontal="center"/>
    </xf>
    <xf numFmtId="1" fontId="5" fillId="15" borderId="5" xfId="0" applyNumberFormat="1" applyFont="1" applyFill="1" applyBorder="1" applyAlignment="1">
      <alignment horizontal="center"/>
    </xf>
    <xf numFmtId="3" fontId="6" fillId="15" borderId="27" xfId="0" applyNumberFormat="1" applyFont="1" applyFill="1" applyBorder="1" applyAlignment="1">
      <alignment horizontal="center"/>
    </xf>
    <xf numFmtId="1" fontId="2" fillId="11" borderId="6" xfId="0" applyNumberFormat="1" applyFont="1" applyFill="1" applyBorder="1" applyAlignment="1">
      <alignment horizontal="center"/>
    </xf>
    <xf numFmtId="1" fontId="2" fillId="14" borderId="6" xfId="0" applyNumberFormat="1" applyFont="1" applyFill="1" applyBorder="1" applyAlignment="1">
      <alignment horizontal="center"/>
    </xf>
    <xf numFmtId="1" fontId="3" fillId="11" borderId="6" xfId="0" applyNumberFormat="1" applyFont="1" applyFill="1" applyBorder="1" applyAlignment="1">
      <alignment horizontal="center"/>
    </xf>
    <xf numFmtId="3" fontId="2" fillId="11" borderId="51" xfId="0" applyNumberFormat="1" applyFont="1" applyFill="1" applyBorder="1" applyAlignment="1">
      <alignment horizontal="center"/>
    </xf>
    <xf numFmtId="1" fontId="2" fillId="11" borderId="21" xfId="0" applyNumberFormat="1" applyFont="1" applyFill="1" applyBorder="1" applyAlignment="1">
      <alignment horizontal="center"/>
    </xf>
    <xf numFmtId="1" fontId="2" fillId="11" borderId="51" xfId="0" applyNumberFormat="1" applyFont="1" applyFill="1" applyBorder="1" applyAlignment="1">
      <alignment horizontal="center"/>
    </xf>
    <xf numFmtId="1" fontId="2" fillId="11" borderId="23" xfId="0" applyNumberFormat="1" applyFont="1" applyFill="1" applyBorder="1" applyAlignment="1">
      <alignment horizontal="center"/>
    </xf>
    <xf numFmtId="1" fontId="2" fillId="11" borderId="54" xfId="0" applyNumberFormat="1" applyFont="1" applyFill="1" applyBorder="1" applyAlignment="1">
      <alignment horizontal="center"/>
    </xf>
    <xf numFmtId="1" fontId="2" fillId="11" borderId="26" xfId="0" applyNumberFormat="1" applyFont="1" applyFill="1" applyBorder="1" applyAlignment="1">
      <alignment horizontal="center"/>
    </xf>
    <xf numFmtId="1" fontId="2" fillId="11" borderId="38" xfId="0" applyNumberFormat="1" applyFont="1" applyFill="1" applyBorder="1" applyAlignment="1">
      <alignment horizontal="center"/>
    </xf>
    <xf numFmtId="1" fontId="2" fillId="11" borderId="24" xfId="0" applyNumberFormat="1" applyFont="1" applyFill="1" applyBorder="1" applyAlignment="1">
      <alignment horizontal="center"/>
    </xf>
    <xf numFmtId="1" fontId="2" fillId="11" borderId="47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" fontId="2" fillId="6" borderId="34" xfId="0" applyNumberFormat="1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1" fontId="3" fillId="6" borderId="34" xfId="0" applyNumberFormat="1" applyFont="1" applyFill="1" applyBorder="1" applyAlignment="1">
      <alignment horizontal="center"/>
    </xf>
    <xf numFmtId="1" fontId="5" fillId="6" borderId="0" xfId="0" applyNumberFormat="1" applyFont="1" applyFill="1" applyBorder="1" applyAlignment="1">
      <alignment horizontal="center"/>
    </xf>
    <xf numFmtId="1" fontId="5" fillId="6" borderId="34" xfId="0" applyNumberFormat="1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1" fontId="5" fillId="6" borderId="2" xfId="0" applyNumberFormat="1" applyFont="1" applyFill="1" applyBorder="1" applyAlignment="1">
      <alignment horizontal="center"/>
    </xf>
    <xf numFmtId="1" fontId="5" fillId="6" borderId="57" xfId="0" applyNumberFormat="1" applyFont="1" applyFill="1" applyBorder="1" applyAlignment="1">
      <alignment horizontal="center"/>
    </xf>
    <xf numFmtId="1" fontId="5" fillId="6" borderId="18" xfId="0" applyNumberFormat="1" applyFont="1" applyFill="1" applyBorder="1" applyAlignment="1">
      <alignment horizontal="center"/>
    </xf>
    <xf numFmtId="41" fontId="5" fillId="6" borderId="34" xfId="0" applyNumberFormat="1" applyFont="1" applyFill="1" applyBorder="1" applyAlignment="1">
      <alignment horizontal="center"/>
    </xf>
    <xf numFmtId="41" fontId="3" fillId="6" borderId="3" xfId="0" applyNumberFormat="1" applyFont="1" applyFill="1" applyBorder="1" applyAlignment="1">
      <alignment horizontal="center"/>
    </xf>
    <xf numFmtId="1" fontId="3" fillId="6" borderId="57" xfId="0" applyNumberFormat="1" applyFont="1" applyFill="1" applyBorder="1" applyAlignment="1">
      <alignment horizontal="center"/>
    </xf>
    <xf numFmtId="1" fontId="5" fillId="6" borderId="58" xfId="0" applyNumberFormat="1" applyFont="1" applyFill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3" fillId="0" borderId="59" xfId="0" applyFont="1" applyBorder="1"/>
    <xf numFmtId="1" fontId="3" fillId="0" borderId="59" xfId="0" applyNumberFormat="1" applyFont="1" applyBorder="1" applyAlignment="1">
      <alignment horizontal="center"/>
    </xf>
    <xf numFmtId="1" fontId="2" fillId="0" borderId="59" xfId="0" applyNumberFormat="1" applyFont="1" applyFill="1" applyBorder="1" applyAlignment="1">
      <alignment horizontal="center"/>
    </xf>
    <xf numFmtId="1" fontId="2" fillId="4" borderId="60" xfId="0" applyNumberFormat="1" applyFont="1" applyFill="1" applyBorder="1" applyAlignment="1">
      <alignment horizontal="center"/>
    </xf>
    <xf numFmtId="1" fontId="2" fillId="4" borderId="59" xfId="0" applyNumberFormat="1" applyFont="1" applyFill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1" xfId="0" applyFont="1" applyBorder="1"/>
    <xf numFmtId="1" fontId="3" fillId="0" borderId="61" xfId="0" applyNumberFormat="1" applyFont="1" applyBorder="1" applyAlignment="1">
      <alignment horizontal="center"/>
    </xf>
    <xf numFmtId="1" fontId="2" fillId="0" borderId="61" xfId="0" applyNumberFormat="1" applyFont="1" applyFill="1" applyBorder="1" applyAlignment="1">
      <alignment horizontal="center"/>
    </xf>
    <xf numFmtId="1" fontId="2" fillId="4" borderId="62" xfId="0" applyNumberFormat="1" applyFont="1" applyFill="1" applyBorder="1" applyAlignment="1">
      <alignment horizontal="center"/>
    </xf>
    <xf numFmtId="1" fontId="3" fillId="8" borderId="61" xfId="0" applyNumberFormat="1" applyFont="1" applyFill="1" applyBorder="1" applyAlignment="1">
      <alignment horizontal="center"/>
    </xf>
    <xf numFmtId="1" fontId="2" fillId="8" borderId="61" xfId="0" applyNumberFormat="1" applyFont="1" applyFill="1" applyBorder="1" applyAlignment="1">
      <alignment horizontal="center"/>
    </xf>
    <xf numFmtId="1" fontId="2" fillId="4" borderId="61" xfId="0" applyNumberFormat="1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3" xfId="0" applyFont="1" applyBorder="1"/>
    <xf numFmtId="1" fontId="3" fillId="0" borderId="63" xfId="0" applyNumberFormat="1" applyFont="1" applyBorder="1" applyAlignment="1">
      <alignment horizontal="center"/>
    </xf>
    <xf numFmtId="1" fontId="2" fillId="0" borderId="63" xfId="0" applyNumberFormat="1" applyFont="1" applyFill="1" applyBorder="1" applyAlignment="1">
      <alignment horizontal="center"/>
    </xf>
    <xf numFmtId="1" fontId="2" fillId="4" borderId="63" xfId="0" applyNumberFormat="1" applyFont="1" applyFill="1" applyBorder="1" applyAlignment="1">
      <alignment horizontal="center"/>
    </xf>
    <xf numFmtId="1" fontId="3" fillId="0" borderId="63" xfId="0" applyNumberFormat="1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63" xfId="0" applyFont="1" applyBorder="1" applyAlignment="1">
      <alignment horizontal="center"/>
    </xf>
    <xf numFmtId="1" fontId="2" fillId="13" borderId="61" xfId="0" applyNumberFormat="1" applyFont="1" applyFill="1" applyBorder="1" applyAlignment="1">
      <alignment horizontal="center"/>
    </xf>
    <xf numFmtId="1" fontId="2" fillId="16" borderId="62" xfId="0" applyNumberFormat="1" applyFont="1" applyFill="1" applyBorder="1" applyAlignment="1">
      <alignment horizontal="center"/>
    </xf>
    <xf numFmtId="1" fontId="3" fillId="17" borderId="61" xfId="0" applyNumberFormat="1" applyFont="1" applyFill="1" applyBorder="1" applyAlignment="1">
      <alignment horizontal="center"/>
    </xf>
    <xf numFmtId="1" fontId="2" fillId="17" borderId="61" xfId="0" applyNumberFormat="1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 vertical="center" wrapText="1"/>
    </xf>
    <xf numFmtId="17" fontId="11" fillId="12" borderId="4" xfId="0" applyNumberFormat="1" applyFont="1" applyFill="1" applyBorder="1" applyAlignment="1">
      <alignment horizontal="center"/>
    </xf>
    <xf numFmtId="17" fontId="11" fillId="12" borderId="5" xfId="0" applyNumberFormat="1" applyFont="1" applyFill="1" applyBorder="1" applyAlignment="1">
      <alignment horizontal="center"/>
    </xf>
    <xf numFmtId="1" fontId="10" fillId="12" borderId="4" xfId="0" applyNumberFormat="1" applyFont="1" applyFill="1" applyBorder="1" applyAlignment="1">
      <alignment horizontal="center"/>
    </xf>
    <xf numFmtId="1" fontId="10" fillId="12" borderId="5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" fontId="2" fillId="7" borderId="7" xfId="0" applyNumberFormat="1" applyFont="1" applyFill="1" applyBorder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1" fontId="2" fillId="6" borderId="10" xfId="0" applyNumberFormat="1" applyFont="1" applyFill="1" applyBorder="1" applyAlignment="1">
      <alignment horizontal="center"/>
    </xf>
    <xf numFmtId="0" fontId="2" fillId="6" borderId="11" xfId="0" applyFont="1" applyFill="1" applyBorder="1"/>
    <xf numFmtId="0" fontId="5" fillId="6" borderId="1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0" borderId="0" xfId="0" applyFont="1" applyAlignment="1"/>
    <xf numFmtId="1" fontId="3" fillId="0" borderId="0" xfId="0" applyNumberFormat="1" applyFont="1" applyAlignment="1"/>
    <xf numFmtId="1" fontId="9" fillId="0" borderId="0" xfId="0" applyNumberFormat="1" applyFont="1" applyAlignment="1"/>
    <xf numFmtId="0" fontId="9" fillId="0" borderId="0" xfId="0" applyFont="1" applyAlignment="1"/>
    <xf numFmtId="1" fontId="3" fillId="0" borderId="0" xfId="0" applyNumberFormat="1" applyFont="1" applyFill="1"/>
    <xf numFmtId="1" fontId="4" fillId="0" borderId="0" xfId="0" applyNumberFormat="1" applyFont="1"/>
    <xf numFmtId="0" fontId="10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2" fontId="5" fillId="6" borderId="3" xfId="0" applyNumberFormat="1" applyFont="1" applyFill="1" applyBorder="1" applyAlignment="1">
      <alignment horizontal="center"/>
    </xf>
    <xf numFmtId="17" fontId="2" fillId="0" borderId="59" xfId="0" applyNumberFormat="1" applyFont="1" applyFill="1" applyBorder="1" applyAlignment="1">
      <alignment horizontal="center"/>
    </xf>
    <xf numFmtId="17" fontId="2" fillId="0" borderId="61" xfId="0" applyNumberFormat="1" applyFont="1" applyFill="1" applyBorder="1" applyAlignment="1">
      <alignment horizontal="center"/>
    </xf>
    <xf numFmtId="17" fontId="2" fillId="0" borderId="63" xfId="0" applyNumberFormat="1" applyFont="1" applyFill="1" applyBorder="1" applyAlignment="1">
      <alignment horizontal="center"/>
    </xf>
    <xf numFmtId="0" fontId="7" fillId="0" borderId="0" xfId="0" applyFont="1" applyFill="1"/>
    <xf numFmtId="1" fontId="2" fillId="0" borderId="0" xfId="0" applyNumberFormat="1" applyFont="1" applyFill="1"/>
    <xf numFmtId="1" fontId="7" fillId="0" borderId="0" xfId="0" applyNumberFormat="1" applyFont="1" applyFill="1"/>
    <xf numFmtId="0" fontId="3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1" fontId="13" fillId="0" borderId="23" xfId="0" applyNumberFormat="1" applyFont="1" applyFill="1" applyBorder="1" applyAlignment="1">
      <alignment horizontal="center"/>
    </xf>
    <xf numFmtId="1" fontId="13" fillId="0" borderId="26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1" fontId="13" fillId="0" borderId="24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1" fontId="2" fillId="15" borderId="38" xfId="0" applyNumberFormat="1" applyFont="1" applyFill="1" applyBorder="1" applyAlignment="1">
      <alignment horizontal="center"/>
    </xf>
    <xf numFmtId="1" fontId="2" fillId="15" borderId="53" xfId="0" applyNumberFormat="1" applyFont="1" applyFill="1" applyBorder="1" applyAlignment="1">
      <alignment horizontal="center"/>
    </xf>
    <xf numFmtId="1" fontId="2" fillId="11" borderId="52" xfId="0" applyNumberFormat="1" applyFont="1" applyFill="1" applyBorder="1" applyAlignment="1">
      <alignment horizontal="center"/>
    </xf>
    <xf numFmtId="0" fontId="15" fillId="0" borderId="40" xfId="0" applyFont="1" applyBorder="1"/>
    <xf numFmtId="0" fontId="15" fillId="0" borderId="41" xfId="0" applyFont="1" applyBorder="1"/>
    <xf numFmtId="0" fontId="10" fillId="0" borderId="41" xfId="0" applyFont="1" applyBorder="1"/>
    <xf numFmtId="0" fontId="11" fillId="0" borderId="41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43" xfId="0" applyFont="1" applyBorder="1"/>
    <xf numFmtId="0" fontId="11" fillId="0" borderId="45" xfId="0" applyFont="1" applyBorder="1"/>
    <xf numFmtId="1" fontId="2" fillId="0" borderId="22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1" fontId="3" fillId="6" borderId="18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1" fontId="6" fillId="0" borderId="5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3" fillId="0" borderId="0" xfId="0" applyNumberFormat="1" applyFont="1"/>
    <xf numFmtId="1" fontId="7" fillId="0" borderId="0" xfId="0" applyNumberFormat="1" applyFont="1"/>
    <xf numFmtId="1" fontId="6" fillId="0" borderId="28" xfId="0" applyNumberFormat="1" applyFont="1" applyFill="1" applyBorder="1" applyAlignment="1">
      <alignment horizontal="center"/>
    </xf>
    <xf numFmtId="1" fontId="6" fillId="0" borderId="26" xfId="0" applyNumberFormat="1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/>
    </xf>
    <xf numFmtId="1" fontId="13" fillId="10" borderId="28" xfId="0" applyNumberFormat="1" applyFont="1" applyFill="1" applyBorder="1" applyAlignment="1">
      <alignment horizontal="center"/>
    </xf>
    <xf numFmtId="1" fontId="13" fillId="10" borderId="26" xfId="0" applyNumberFormat="1" applyFont="1" applyFill="1" applyBorder="1" applyAlignment="1">
      <alignment horizontal="center"/>
    </xf>
    <xf numFmtId="1" fontId="3" fillId="10" borderId="26" xfId="0" applyNumberFormat="1" applyFont="1" applyFill="1" applyBorder="1" applyAlignment="1">
      <alignment horizontal="center"/>
    </xf>
    <xf numFmtId="1" fontId="13" fillId="10" borderId="24" xfId="0" applyNumberFormat="1" applyFont="1" applyFill="1" applyBorder="1" applyAlignment="1">
      <alignment horizontal="center"/>
    </xf>
    <xf numFmtId="1" fontId="3" fillId="6" borderId="11" xfId="0" applyNumberFormat="1" applyFont="1" applyFill="1" applyBorder="1" applyAlignment="1">
      <alignment horizontal="center"/>
    </xf>
    <xf numFmtId="1" fontId="5" fillId="6" borderId="12" xfId="0" applyNumberFormat="1" applyFont="1" applyFill="1" applyBorder="1" applyAlignment="1">
      <alignment horizontal="center"/>
    </xf>
    <xf numFmtId="1" fontId="3" fillId="6" borderId="12" xfId="0" applyNumberFormat="1" applyFont="1" applyFill="1" applyBorder="1" applyAlignment="1">
      <alignment horizontal="center"/>
    </xf>
    <xf numFmtId="1" fontId="16" fillId="0" borderId="4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/>
    </xf>
    <xf numFmtId="1" fontId="16" fillId="0" borderId="6" xfId="0" applyNumberFormat="1" applyFont="1" applyFill="1" applyBorder="1" applyAlignment="1">
      <alignment horizontal="center"/>
    </xf>
    <xf numFmtId="0" fontId="5" fillId="0" borderId="0" xfId="0" applyFont="1"/>
    <xf numFmtId="1" fontId="3" fillId="18" borderId="5" xfId="0" applyNumberFormat="1" applyFont="1" applyFill="1" applyBorder="1" applyAlignment="1">
      <alignment horizontal="center"/>
    </xf>
    <xf numFmtId="1" fontId="3" fillId="18" borderId="4" xfId="0" applyNumberFormat="1" applyFont="1" applyFill="1" applyBorder="1" applyAlignment="1">
      <alignment horizontal="center"/>
    </xf>
    <xf numFmtId="1" fontId="3" fillId="19" borderId="5" xfId="0" applyNumberFormat="1" applyFont="1" applyFill="1" applyBorder="1" applyAlignment="1">
      <alignment horizontal="center"/>
    </xf>
    <xf numFmtId="1" fontId="3" fillId="18" borderId="6" xfId="0" applyNumberFormat="1" applyFont="1" applyFill="1" applyBorder="1" applyAlignment="1">
      <alignment horizontal="center"/>
    </xf>
    <xf numFmtId="1" fontId="3" fillId="18" borderId="15" xfId="0" applyNumberFormat="1" applyFont="1" applyFill="1" applyBorder="1" applyAlignment="1">
      <alignment horizontal="center"/>
    </xf>
    <xf numFmtId="1" fontId="2" fillId="0" borderId="59" xfId="0" applyNumberFormat="1" applyFont="1" applyBorder="1" applyAlignment="1">
      <alignment horizontal="center"/>
    </xf>
    <xf numFmtId="1" fontId="2" fillId="0" borderId="61" xfId="0" applyNumberFormat="1" applyFont="1" applyBorder="1" applyAlignment="1">
      <alignment horizontal="center"/>
    </xf>
    <xf numFmtId="1" fontId="2" fillId="0" borderId="63" xfId="0" applyNumberFormat="1" applyFont="1" applyBorder="1" applyAlignment="1">
      <alignment horizontal="center"/>
    </xf>
    <xf numFmtId="1" fontId="2" fillId="18" borderId="4" xfId="0" applyNumberFormat="1" applyFont="1" applyFill="1" applyBorder="1" applyAlignment="1">
      <alignment horizontal="center"/>
    </xf>
    <xf numFmtId="1" fontId="16" fillId="18" borderId="5" xfId="0" applyNumberFormat="1" applyFont="1" applyFill="1" applyBorder="1" applyAlignment="1">
      <alignment horizontal="center"/>
    </xf>
    <xf numFmtId="1" fontId="2" fillId="18" borderId="5" xfId="0" applyNumberFormat="1" applyFont="1" applyFill="1" applyBorder="1" applyAlignment="1">
      <alignment horizontal="center"/>
    </xf>
    <xf numFmtId="1" fontId="16" fillId="18" borderId="6" xfId="0" applyNumberFormat="1" applyFont="1" applyFill="1" applyBorder="1" applyAlignment="1">
      <alignment horizontal="center"/>
    </xf>
    <xf numFmtId="1" fontId="2" fillId="18" borderId="15" xfId="0" applyNumberFormat="1" applyFont="1" applyFill="1" applyBorder="1" applyAlignment="1">
      <alignment horizontal="center"/>
    </xf>
    <xf numFmtId="1" fontId="2" fillId="19" borderId="5" xfId="0" applyNumberFormat="1" applyFont="1" applyFill="1" applyBorder="1" applyAlignment="1">
      <alignment horizontal="center"/>
    </xf>
    <xf numFmtId="1" fontId="2" fillId="18" borderId="6" xfId="0" applyNumberFormat="1" applyFont="1" applyFill="1" applyBorder="1" applyAlignment="1">
      <alignment horizontal="center"/>
    </xf>
    <xf numFmtId="0" fontId="2" fillId="0" borderId="42" xfId="0" applyFont="1" applyBorder="1"/>
    <xf numFmtId="0" fontId="3" fillId="0" borderId="39" xfId="0" applyFont="1" applyBorder="1" applyAlignment="1"/>
    <xf numFmtId="0" fontId="7" fillId="0" borderId="39" xfId="0" applyFont="1" applyBorder="1" applyAlignment="1"/>
    <xf numFmtId="0" fontId="2" fillId="0" borderId="39" xfId="0" applyFont="1" applyBorder="1"/>
    <xf numFmtId="0" fontId="2" fillId="0" borderId="46" xfId="0" applyFont="1" applyBorder="1"/>
    <xf numFmtId="3" fontId="3" fillId="18" borderId="5" xfId="0" applyNumberFormat="1" applyFont="1" applyFill="1" applyBorder="1" applyAlignment="1">
      <alignment horizontal="center"/>
    </xf>
    <xf numFmtId="1" fontId="7" fillId="19" borderId="5" xfId="0" applyNumberFormat="1" applyFont="1" applyFill="1" applyBorder="1" applyAlignment="1">
      <alignment horizontal="center"/>
    </xf>
    <xf numFmtId="1" fontId="2" fillId="20" borderId="59" xfId="0" applyNumberFormat="1" applyFont="1" applyFill="1" applyBorder="1" applyAlignment="1">
      <alignment horizontal="center"/>
    </xf>
    <xf numFmtId="1" fontId="3" fillId="20" borderId="59" xfId="0" applyNumberFormat="1" applyFont="1" applyFill="1" applyBorder="1" applyAlignment="1">
      <alignment horizontal="center"/>
    </xf>
    <xf numFmtId="1" fontId="2" fillId="21" borderId="61" xfId="0" applyNumberFormat="1" applyFont="1" applyFill="1" applyBorder="1" applyAlignment="1">
      <alignment horizontal="center"/>
    </xf>
    <xf numFmtId="1" fontId="3" fillId="21" borderId="61" xfId="0" applyNumberFormat="1" applyFont="1" applyFill="1" applyBorder="1" applyAlignment="1">
      <alignment horizontal="center"/>
    </xf>
    <xf numFmtId="1" fontId="2" fillId="20" borderId="61" xfId="0" applyNumberFormat="1" applyFont="1" applyFill="1" applyBorder="1" applyAlignment="1">
      <alignment horizontal="center"/>
    </xf>
    <xf numFmtId="1" fontId="3" fillId="20" borderId="61" xfId="0" applyNumberFormat="1" applyFont="1" applyFill="1" applyBorder="1" applyAlignment="1">
      <alignment horizontal="center"/>
    </xf>
    <xf numFmtId="1" fontId="2" fillId="20" borderId="63" xfId="0" applyNumberFormat="1" applyFont="1" applyFill="1" applyBorder="1" applyAlignment="1">
      <alignment horizontal="center"/>
    </xf>
    <xf numFmtId="1" fontId="3" fillId="20" borderId="63" xfId="0" applyNumberFormat="1" applyFont="1" applyFill="1" applyBorder="1" applyAlignment="1">
      <alignment horizontal="center"/>
    </xf>
    <xf numFmtId="1" fontId="2" fillId="21" borderId="63" xfId="0" applyNumberFormat="1" applyFont="1" applyFill="1" applyBorder="1" applyAlignment="1">
      <alignment horizontal="center"/>
    </xf>
    <xf numFmtId="1" fontId="7" fillId="20" borderId="63" xfId="0" applyNumberFormat="1" applyFont="1" applyFill="1" applyBorder="1" applyAlignment="1">
      <alignment horizontal="center"/>
    </xf>
    <xf numFmtId="1" fontId="7" fillId="20" borderId="59" xfId="0" applyNumberFormat="1" applyFont="1" applyFill="1" applyBorder="1" applyAlignment="1">
      <alignment horizontal="center"/>
    </xf>
    <xf numFmtId="1" fontId="7" fillId="21" borderId="61" xfId="0" applyNumberFormat="1" applyFont="1" applyFill="1" applyBorder="1" applyAlignment="1">
      <alignment horizontal="center"/>
    </xf>
    <xf numFmtId="17" fontId="2" fillId="22" borderId="59" xfId="0" applyNumberFormat="1" applyFont="1" applyFill="1" applyBorder="1" applyAlignment="1">
      <alignment horizontal="center"/>
    </xf>
    <xf numFmtId="1" fontId="2" fillId="22" borderId="59" xfId="0" applyNumberFormat="1" applyFont="1" applyFill="1" applyBorder="1" applyAlignment="1">
      <alignment horizontal="center"/>
    </xf>
    <xf numFmtId="0" fontId="8" fillId="22" borderId="59" xfId="0" applyFont="1" applyFill="1" applyBorder="1" applyAlignment="1">
      <alignment horizontal="center"/>
    </xf>
    <xf numFmtId="1" fontId="7" fillId="18" borderId="5" xfId="0" applyNumberFormat="1" applyFont="1" applyFill="1" applyBorder="1" applyAlignment="1">
      <alignment horizontal="center"/>
    </xf>
    <xf numFmtId="1" fontId="5" fillId="18" borderId="5" xfId="0" applyNumberFormat="1" applyFont="1" applyFill="1" applyBorder="1" applyAlignment="1">
      <alignment horizontal="center"/>
    </xf>
    <xf numFmtId="1" fontId="5" fillId="21" borderId="61" xfId="0" applyNumberFormat="1" applyFont="1" applyFill="1" applyBorder="1" applyAlignment="1">
      <alignment horizontal="center"/>
    </xf>
    <xf numFmtId="1" fontId="13" fillId="18" borderId="5" xfId="0" applyNumberFormat="1" applyFont="1" applyFill="1" applyBorder="1" applyAlignment="1">
      <alignment horizontal="center"/>
    </xf>
    <xf numFmtId="1" fontId="13" fillId="18" borderId="6" xfId="0" applyNumberFormat="1" applyFont="1" applyFill="1" applyBorder="1" applyAlignment="1">
      <alignment horizontal="center"/>
    </xf>
    <xf numFmtId="1" fontId="13" fillId="19" borderId="5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36" xfId="0" applyFont="1" applyFill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9" borderId="55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9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36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5" borderId="2" xfId="0" applyFont="1" applyFill="1" applyBorder="1" applyAlignment="1">
      <alignment horizontal="center" vertical="center" wrapText="1" shrinkToFit="1"/>
    </xf>
    <xf numFmtId="0" fontId="14" fillId="5" borderId="1" xfId="0" applyFont="1" applyFill="1" applyBorder="1" applyAlignment="1">
      <alignment horizontal="center" vertical="center" wrapText="1" shrinkToFit="1"/>
    </xf>
    <xf numFmtId="0" fontId="14" fillId="5" borderId="7" xfId="0" applyFont="1" applyFill="1" applyBorder="1" applyAlignment="1">
      <alignment horizontal="center" vertical="center" wrapText="1" shrinkToFi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shrinkToFit="1"/>
    </xf>
    <xf numFmtId="0" fontId="3" fillId="5" borderId="34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" fontId="4" fillId="8" borderId="27" xfId="0" applyNumberFormat="1" applyFont="1" applyFill="1" applyBorder="1" applyAlignment="1">
      <alignment horizontal="center"/>
    </xf>
    <xf numFmtId="1" fontId="3" fillId="20" borderId="3" xfId="0" applyNumberFormat="1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CFFFF"/>
      <color rgb="FF0000FF"/>
      <color rgb="FFCCFF66"/>
      <color rgb="FFCCCC00"/>
      <color rgb="FFFFCC00"/>
      <color rgb="FFFF9900"/>
      <color rgb="FF00FF00"/>
      <color rgb="FFFF0066"/>
      <color rgb="FF00FFCC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137582</xdr:colOff>
      <xdr:row>0</xdr:row>
      <xdr:rowOff>201082</xdr:rowOff>
    </xdr:from>
    <xdr:to>
      <xdr:col>43</xdr:col>
      <xdr:colOff>201082</xdr:colOff>
      <xdr:row>1</xdr:row>
      <xdr:rowOff>296333</xdr:rowOff>
    </xdr:to>
    <xdr:sp macro="" textlink="">
      <xdr:nvSpPr>
        <xdr:cNvPr id="2" name="Rounded Rectangle 1"/>
        <xdr:cNvSpPr/>
      </xdr:nvSpPr>
      <xdr:spPr>
        <a:xfrm>
          <a:off x="13282082" y="201082"/>
          <a:ext cx="814917" cy="412751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RM46</a:t>
          </a:r>
          <a:endParaRPr lang="th-TH" sz="18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84666</xdr:colOff>
      <xdr:row>41</xdr:row>
      <xdr:rowOff>42334</xdr:rowOff>
    </xdr:from>
    <xdr:to>
      <xdr:col>42</xdr:col>
      <xdr:colOff>95250</xdr:colOff>
      <xdr:row>65</xdr:row>
      <xdr:rowOff>31751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5676" r="1308" b="6444"/>
        <a:stretch>
          <a:fillRect/>
        </a:stretch>
      </xdr:blipFill>
      <xdr:spPr bwMode="auto">
        <a:xfrm>
          <a:off x="84666" y="11313584"/>
          <a:ext cx="13578417" cy="66251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241299</xdr:colOff>
      <xdr:row>14</xdr:row>
      <xdr:rowOff>34927</xdr:rowOff>
    </xdr:from>
    <xdr:to>
      <xdr:col>9</xdr:col>
      <xdr:colOff>190499</xdr:colOff>
      <xdr:row>15</xdr:row>
      <xdr:rowOff>31750</xdr:rowOff>
    </xdr:to>
    <xdr:grpSp>
      <xdr:nvGrpSpPr>
        <xdr:cNvPr id="3" name="Group 2"/>
        <xdr:cNvGrpSpPr/>
      </xdr:nvGrpSpPr>
      <xdr:grpSpPr>
        <a:xfrm>
          <a:off x="2908299" y="4617510"/>
          <a:ext cx="764117" cy="176740"/>
          <a:chOff x="5381625" y="5048250"/>
          <a:chExt cx="800100" cy="180975"/>
        </a:xfrm>
      </xdr:grpSpPr>
      <xdr:cxnSp macro="">
        <xdr:nvCxnSpPr>
          <xdr:cNvPr id="4" name="Straight Connector 3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Straight Connector 5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179915</xdr:colOff>
      <xdr:row>14</xdr:row>
      <xdr:rowOff>26459</xdr:rowOff>
    </xdr:from>
    <xdr:to>
      <xdr:col>15</xdr:col>
      <xdr:colOff>243416</xdr:colOff>
      <xdr:row>15</xdr:row>
      <xdr:rowOff>31751</xdr:rowOff>
    </xdr:to>
    <xdr:grpSp>
      <xdr:nvGrpSpPr>
        <xdr:cNvPr id="7" name="Group 6"/>
        <xdr:cNvGrpSpPr/>
      </xdr:nvGrpSpPr>
      <xdr:grpSpPr>
        <a:xfrm>
          <a:off x="5249332" y="4609042"/>
          <a:ext cx="444501" cy="185209"/>
          <a:chOff x="5381625" y="5048250"/>
          <a:chExt cx="800100" cy="180975"/>
        </a:xfrm>
      </xdr:grpSpPr>
      <xdr:cxnSp macro="">
        <xdr:nvCxnSpPr>
          <xdr:cNvPr id="8" name="Straight Connector 7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179916</xdr:colOff>
      <xdr:row>14</xdr:row>
      <xdr:rowOff>19051</xdr:rowOff>
    </xdr:from>
    <xdr:to>
      <xdr:col>22</xdr:col>
      <xdr:colOff>179916</xdr:colOff>
      <xdr:row>15</xdr:row>
      <xdr:rowOff>21168</xdr:rowOff>
    </xdr:to>
    <xdr:grpSp>
      <xdr:nvGrpSpPr>
        <xdr:cNvPr id="11" name="Group 10"/>
        <xdr:cNvGrpSpPr/>
      </xdr:nvGrpSpPr>
      <xdr:grpSpPr>
        <a:xfrm>
          <a:off x="7387166" y="4601634"/>
          <a:ext cx="719667" cy="182034"/>
          <a:chOff x="5381625" y="5048250"/>
          <a:chExt cx="800100" cy="180975"/>
        </a:xfrm>
      </xdr:grpSpPr>
      <xdr:cxnSp macro="">
        <xdr:nvCxnSpPr>
          <xdr:cNvPr id="12" name="Straight Connector 11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211667</xdr:colOff>
      <xdr:row>14</xdr:row>
      <xdr:rowOff>38100</xdr:rowOff>
    </xdr:from>
    <xdr:to>
      <xdr:col>30</xdr:col>
      <xdr:colOff>200025</xdr:colOff>
      <xdr:row>15</xdr:row>
      <xdr:rowOff>42333</xdr:rowOff>
    </xdr:to>
    <xdr:grpSp>
      <xdr:nvGrpSpPr>
        <xdr:cNvPr id="15" name="Group 14"/>
        <xdr:cNvGrpSpPr/>
      </xdr:nvGrpSpPr>
      <xdr:grpSpPr>
        <a:xfrm>
          <a:off x="10265834" y="4620683"/>
          <a:ext cx="390524" cy="184150"/>
          <a:chOff x="5381625" y="5048250"/>
          <a:chExt cx="800100" cy="180975"/>
        </a:xfrm>
      </xdr:grpSpPr>
      <xdr:cxnSp macro="">
        <xdr:nvCxnSpPr>
          <xdr:cNvPr id="16" name="Straight Connector 15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95250</xdr:colOff>
      <xdr:row>14</xdr:row>
      <xdr:rowOff>52919</xdr:rowOff>
    </xdr:from>
    <xdr:to>
      <xdr:col>37</xdr:col>
      <xdr:colOff>158750</xdr:colOff>
      <xdr:row>15</xdr:row>
      <xdr:rowOff>74084</xdr:rowOff>
    </xdr:to>
    <xdr:grpSp>
      <xdr:nvGrpSpPr>
        <xdr:cNvPr id="19" name="Group 18"/>
        <xdr:cNvGrpSpPr/>
      </xdr:nvGrpSpPr>
      <xdr:grpSpPr>
        <a:xfrm>
          <a:off x="12340167" y="4635502"/>
          <a:ext cx="804333" cy="201082"/>
          <a:chOff x="5381625" y="5048250"/>
          <a:chExt cx="800100" cy="180975"/>
        </a:xfrm>
      </xdr:grpSpPr>
      <xdr:cxnSp macro="">
        <xdr:nvCxnSpPr>
          <xdr:cNvPr id="20" name="Straight Connector 19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402167</xdr:colOff>
      <xdr:row>0</xdr:row>
      <xdr:rowOff>84668</xdr:rowOff>
    </xdr:from>
    <xdr:to>
      <xdr:col>38</xdr:col>
      <xdr:colOff>195791</xdr:colOff>
      <xdr:row>1</xdr:row>
      <xdr:rowOff>211667</xdr:rowOff>
    </xdr:to>
    <xdr:sp macro="" textlink="">
      <xdr:nvSpPr>
        <xdr:cNvPr id="23" name="Rounded Rectangle 22"/>
        <xdr:cNvSpPr/>
      </xdr:nvSpPr>
      <xdr:spPr>
        <a:xfrm>
          <a:off x="13673667" y="84668"/>
          <a:ext cx="862541" cy="412749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RM46</a:t>
          </a:r>
          <a:endParaRPr lang="th-TH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7"/>
  <sheetViews>
    <sheetView tabSelected="1" topLeftCell="P1" zoomScale="90" zoomScaleNormal="90" workbookViewId="0">
      <pane ySplit="9" topLeftCell="A16" activePane="bottomLeft" state="frozen"/>
      <selection pane="bottomLeft" activeCell="BA13" sqref="BA13"/>
    </sheetView>
  </sheetViews>
  <sheetFormatPr defaultRowHeight="27.75" customHeight="1"/>
  <cols>
    <col min="1" max="1" width="8.85546875" style="10" customWidth="1"/>
    <col min="2" max="2" width="5.5703125" style="81" customWidth="1"/>
    <col min="3" max="3" width="5.7109375" style="10" customWidth="1"/>
    <col min="4" max="4" width="6.85546875" style="10" customWidth="1"/>
    <col min="5" max="5" width="7.42578125" style="10" customWidth="1"/>
    <col min="6" max="6" width="10.28515625" style="10" customWidth="1"/>
    <col min="7" max="7" width="9.7109375" style="10" customWidth="1"/>
    <col min="8" max="8" width="5.140625" style="10" customWidth="1"/>
    <col min="9" max="11" width="3.5703125" style="10" customWidth="1"/>
    <col min="12" max="12" width="5.28515625" style="10" customWidth="1"/>
    <col min="13" max="13" width="5.85546875" style="10" customWidth="1"/>
    <col min="14" max="15" width="5" style="10" customWidth="1"/>
    <col min="16" max="16" width="5.7109375" style="10" customWidth="1"/>
    <col min="17" max="20" width="3.5703125" style="10" hidden="1" customWidth="1"/>
    <col min="21" max="21" width="5.28515625" style="10" hidden="1" customWidth="1"/>
    <col min="22" max="22" width="7.140625" style="10" hidden="1" customWidth="1"/>
    <col min="23" max="23" width="4.140625" style="10" hidden="1" customWidth="1"/>
    <col min="24" max="24" width="5.7109375" style="10" hidden="1" customWidth="1"/>
    <col min="25" max="25" width="5.42578125" style="10" customWidth="1"/>
    <col min="26" max="26" width="5.5703125" style="10" customWidth="1"/>
    <col min="27" max="27" width="5" style="10" customWidth="1"/>
    <col min="28" max="28" width="6" style="10" customWidth="1"/>
    <col min="29" max="29" width="5.85546875" style="10" customWidth="1"/>
    <col min="30" max="30" width="7.42578125" style="10" customWidth="1"/>
    <col min="31" max="33" width="5.28515625" style="10" customWidth="1"/>
    <col min="34" max="34" width="6.140625" style="10" customWidth="1"/>
    <col min="35" max="35" width="5.28515625" style="10" customWidth="1"/>
    <col min="36" max="36" width="5.42578125" style="10" customWidth="1"/>
    <col min="37" max="42" width="6.28515625" style="10" customWidth="1"/>
    <col min="43" max="43" width="4.85546875" style="10" customWidth="1"/>
    <col min="44" max="44" width="6.5703125" style="10" customWidth="1"/>
    <col min="45" max="48" width="8.85546875" style="10" hidden="1" customWidth="1"/>
    <col min="49" max="49" width="4.7109375" style="40" customWidth="1"/>
    <col min="50" max="16384" width="9.140625" style="40"/>
  </cols>
  <sheetData>
    <row r="1" spans="1:55" ht="24.75" customHeight="1">
      <c r="A1" s="349" t="s">
        <v>89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173"/>
      <c r="AT1" s="173"/>
      <c r="AU1" s="173"/>
      <c r="AV1" s="173"/>
    </row>
    <row r="2" spans="1:55" ht="24.75" customHeight="1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173"/>
      <c r="AT2" s="173"/>
      <c r="AU2" s="173"/>
      <c r="AV2" s="173"/>
    </row>
    <row r="3" spans="1:55" s="56" customFormat="1" ht="24" customHeight="1">
      <c r="A3" s="194" t="s">
        <v>53</v>
      </c>
      <c r="B3" s="76"/>
      <c r="C3" s="59"/>
      <c r="D3" s="59"/>
      <c r="E3" s="59"/>
      <c r="F3" s="59"/>
      <c r="G3" s="59"/>
      <c r="H3" s="11"/>
      <c r="I3" s="11"/>
      <c r="J3" s="11"/>
      <c r="K3" s="11"/>
      <c r="L3" s="11"/>
      <c r="M3" s="11"/>
      <c r="N3" s="11"/>
      <c r="O3" s="11"/>
      <c r="P3" s="60"/>
      <c r="Q3" s="11"/>
      <c r="R3" s="11"/>
      <c r="S3" s="11"/>
      <c r="T3" s="11"/>
      <c r="U3" s="11"/>
      <c r="V3" s="11"/>
      <c r="W3" s="11"/>
      <c r="X3" s="60"/>
      <c r="Y3" s="11"/>
      <c r="Z3" s="11"/>
      <c r="AA3" s="11"/>
      <c r="AB3" s="11"/>
      <c r="AC3" s="11"/>
      <c r="AD3" s="60"/>
      <c r="AE3" s="11"/>
      <c r="AF3" s="11"/>
      <c r="AG3" s="11"/>
      <c r="AH3" s="11"/>
      <c r="AI3" s="11"/>
      <c r="AJ3" s="60"/>
      <c r="AK3" s="11"/>
      <c r="AL3" s="11"/>
      <c r="AM3" s="11"/>
      <c r="AN3" s="11"/>
      <c r="AO3" s="11"/>
      <c r="AP3" s="11"/>
      <c r="AQ3" s="11"/>
      <c r="AR3" s="60"/>
      <c r="AS3" s="11"/>
      <c r="AT3" s="11"/>
      <c r="AU3" s="11"/>
      <c r="AV3" s="11"/>
    </row>
    <row r="4" spans="1:55" s="56" customFormat="1" ht="22.5" customHeight="1">
      <c r="A4" s="283" t="s">
        <v>9</v>
      </c>
      <c r="B4" s="325" t="s">
        <v>21</v>
      </c>
      <c r="C4" s="326"/>
      <c r="D4" s="326"/>
      <c r="E4" s="77"/>
      <c r="F4" s="325" t="s">
        <v>54</v>
      </c>
      <c r="G4" s="326"/>
      <c r="H4" s="286" t="s">
        <v>45</v>
      </c>
      <c r="I4" s="287"/>
      <c r="J4" s="287"/>
      <c r="K4" s="287"/>
      <c r="L4" s="287"/>
      <c r="M4" s="287"/>
      <c r="N4" s="287"/>
      <c r="O4" s="287"/>
      <c r="P4" s="288"/>
      <c r="Q4" s="286" t="s">
        <v>36</v>
      </c>
      <c r="R4" s="287"/>
      <c r="S4" s="287"/>
      <c r="T4" s="287"/>
      <c r="U4" s="287"/>
      <c r="V4" s="287"/>
      <c r="W4" s="287"/>
      <c r="X4" s="288"/>
      <c r="Y4" s="286" t="s">
        <v>82</v>
      </c>
      <c r="Z4" s="287"/>
      <c r="AA4" s="287"/>
      <c r="AB4" s="287"/>
      <c r="AC4" s="287"/>
      <c r="AD4" s="318"/>
      <c r="AE4" s="317" t="s">
        <v>33</v>
      </c>
      <c r="AF4" s="287"/>
      <c r="AG4" s="287"/>
      <c r="AH4" s="287"/>
      <c r="AI4" s="287"/>
      <c r="AJ4" s="318"/>
      <c r="AK4" s="321" t="s">
        <v>34</v>
      </c>
      <c r="AL4" s="322"/>
      <c r="AM4" s="322"/>
      <c r="AN4" s="322"/>
      <c r="AO4" s="322"/>
      <c r="AP4" s="322"/>
      <c r="AQ4" s="322"/>
      <c r="AR4" s="323"/>
      <c r="AS4" s="298" t="s">
        <v>27</v>
      </c>
      <c r="AT4" s="299"/>
      <c r="AU4" s="299"/>
      <c r="AV4" s="300"/>
    </row>
    <row r="5" spans="1:55" s="56" customFormat="1" ht="21" customHeight="1">
      <c r="A5" s="284"/>
      <c r="B5" s="350" t="s">
        <v>40</v>
      </c>
      <c r="C5" s="353" t="s">
        <v>12</v>
      </c>
      <c r="D5" s="353" t="s">
        <v>19</v>
      </c>
      <c r="E5" s="353" t="s">
        <v>30</v>
      </c>
      <c r="F5" s="327"/>
      <c r="G5" s="328"/>
      <c r="H5" s="289"/>
      <c r="I5" s="290"/>
      <c r="J5" s="290"/>
      <c r="K5" s="290"/>
      <c r="L5" s="290"/>
      <c r="M5" s="290"/>
      <c r="N5" s="290"/>
      <c r="O5" s="290"/>
      <c r="P5" s="291"/>
      <c r="Q5" s="289"/>
      <c r="R5" s="290"/>
      <c r="S5" s="290"/>
      <c r="T5" s="290"/>
      <c r="U5" s="290"/>
      <c r="V5" s="290"/>
      <c r="W5" s="290"/>
      <c r="X5" s="291"/>
      <c r="Y5" s="289"/>
      <c r="Z5" s="290"/>
      <c r="AA5" s="290"/>
      <c r="AB5" s="290"/>
      <c r="AC5" s="290"/>
      <c r="AD5" s="319"/>
      <c r="AE5" s="308"/>
      <c r="AF5" s="290"/>
      <c r="AG5" s="290"/>
      <c r="AH5" s="290"/>
      <c r="AI5" s="290"/>
      <c r="AJ5" s="319"/>
      <c r="AK5" s="308" t="s">
        <v>78</v>
      </c>
      <c r="AL5" s="290"/>
      <c r="AM5" s="290"/>
      <c r="AN5" s="290"/>
      <c r="AO5" s="290"/>
      <c r="AP5" s="290"/>
      <c r="AQ5" s="290"/>
      <c r="AR5" s="291"/>
      <c r="AS5" s="301"/>
      <c r="AT5" s="302"/>
      <c r="AU5" s="302"/>
      <c r="AV5" s="303"/>
    </row>
    <row r="6" spans="1:55" s="56" customFormat="1" ht="24" customHeight="1">
      <c r="A6" s="284"/>
      <c r="B6" s="351"/>
      <c r="C6" s="354"/>
      <c r="D6" s="354"/>
      <c r="E6" s="354"/>
      <c r="F6" s="329"/>
      <c r="G6" s="330"/>
      <c r="H6" s="292" t="s">
        <v>41</v>
      </c>
      <c r="I6" s="293"/>
      <c r="J6" s="293"/>
      <c r="K6" s="293"/>
      <c r="L6" s="293"/>
      <c r="M6" s="293"/>
      <c r="N6" s="293"/>
      <c r="O6" s="293"/>
      <c r="P6" s="294"/>
      <c r="Q6" s="292" t="s">
        <v>37</v>
      </c>
      <c r="R6" s="293"/>
      <c r="S6" s="293"/>
      <c r="T6" s="293"/>
      <c r="U6" s="293"/>
      <c r="V6" s="293"/>
      <c r="W6" s="293"/>
      <c r="X6" s="294"/>
      <c r="Y6" s="347"/>
      <c r="Z6" s="293"/>
      <c r="AA6" s="293"/>
      <c r="AB6" s="293"/>
      <c r="AC6" s="293"/>
      <c r="AD6" s="320"/>
      <c r="AE6" s="316"/>
      <c r="AF6" s="293"/>
      <c r="AG6" s="293"/>
      <c r="AH6" s="293"/>
      <c r="AI6" s="293"/>
      <c r="AJ6" s="320"/>
      <c r="AK6" s="316" t="s">
        <v>77</v>
      </c>
      <c r="AL6" s="293"/>
      <c r="AM6" s="293"/>
      <c r="AN6" s="293"/>
      <c r="AO6" s="293"/>
      <c r="AP6" s="293"/>
      <c r="AQ6" s="293"/>
      <c r="AR6" s="294"/>
      <c r="AS6" s="304"/>
      <c r="AT6" s="305"/>
      <c r="AU6" s="305"/>
      <c r="AV6" s="306"/>
    </row>
    <row r="7" spans="1:55" s="56" customFormat="1" ht="22.5" customHeight="1">
      <c r="A7" s="284"/>
      <c r="B7" s="351"/>
      <c r="C7" s="354"/>
      <c r="D7" s="354"/>
      <c r="E7" s="354"/>
      <c r="F7" s="331" t="s">
        <v>3</v>
      </c>
      <c r="G7" s="331" t="s">
        <v>56</v>
      </c>
      <c r="H7" s="346" t="s">
        <v>3</v>
      </c>
      <c r="I7" s="337"/>
      <c r="J7" s="337"/>
      <c r="K7" s="337"/>
      <c r="L7" s="337"/>
      <c r="M7" s="338"/>
      <c r="N7" s="348" t="s">
        <v>13</v>
      </c>
      <c r="O7" s="312"/>
      <c r="P7" s="339"/>
      <c r="Q7" s="346" t="s">
        <v>3</v>
      </c>
      <c r="R7" s="337"/>
      <c r="S7" s="337"/>
      <c r="T7" s="337"/>
      <c r="U7" s="337"/>
      <c r="V7" s="338"/>
      <c r="W7" s="348" t="s">
        <v>13</v>
      </c>
      <c r="X7" s="339"/>
      <c r="Y7" s="346" t="s">
        <v>3</v>
      </c>
      <c r="Z7" s="337"/>
      <c r="AA7" s="337"/>
      <c r="AB7" s="338"/>
      <c r="AC7" s="312" t="s">
        <v>13</v>
      </c>
      <c r="AD7" s="313"/>
      <c r="AE7" s="336" t="s">
        <v>3</v>
      </c>
      <c r="AF7" s="337"/>
      <c r="AG7" s="337"/>
      <c r="AH7" s="338"/>
      <c r="AI7" s="312" t="s">
        <v>13</v>
      </c>
      <c r="AJ7" s="313"/>
      <c r="AK7" s="336" t="s">
        <v>3</v>
      </c>
      <c r="AL7" s="337"/>
      <c r="AM7" s="337"/>
      <c r="AN7" s="337"/>
      <c r="AO7" s="337"/>
      <c r="AP7" s="338"/>
      <c r="AQ7" s="312" t="s">
        <v>13</v>
      </c>
      <c r="AR7" s="339"/>
      <c r="AS7" s="342" t="s">
        <v>29</v>
      </c>
      <c r="AT7" s="343"/>
      <c r="AU7" s="334" t="s">
        <v>38</v>
      </c>
      <c r="AV7" s="307" t="s">
        <v>15</v>
      </c>
    </row>
    <row r="8" spans="1:55" s="56" customFormat="1" ht="22.5" customHeight="1">
      <c r="A8" s="284"/>
      <c r="B8" s="351"/>
      <c r="C8" s="354"/>
      <c r="D8" s="354"/>
      <c r="E8" s="354"/>
      <c r="F8" s="332"/>
      <c r="G8" s="332"/>
      <c r="H8" s="346" t="s">
        <v>1</v>
      </c>
      <c r="I8" s="337"/>
      <c r="J8" s="337"/>
      <c r="K8" s="337"/>
      <c r="L8" s="338"/>
      <c r="M8" s="340" t="s">
        <v>16</v>
      </c>
      <c r="N8" s="324" t="s">
        <v>10</v>
      </c>
      <c r="O8" s="314" t="s">
        <v>14</v>
      </c>
      <c r="P8" s="324" t="s">
        <v>15</v>
      </c>
      <c r="Q8" s="295" t="s">
        <v>1</v>
      </c>
      <c r="R8" s="296"/>
      <c r="S8" s="296"/>
      <c r="T8" s="296"/>
      <c r="U8" s="297"/>
      <c r="V8" s="340" t="s">
        <v>16</v>
      </c>
      <c r="W8" s="324" t="s">
        <v>14</v>
      </c>
      <c r="X8" s="324" t="s">
        <v>15</v>
      </c>
      <c r="Y8" s="295" t="s">
        <v>1</v>
      </c>
      <c r="Z8" s="296"/>
      <c r="AA8" s="297"/>
      <c r="AB8" s="340" t="s">
        <v>16</v>
      </c>
      <c r="AC8" s="314" t="s">
        <v>14</v>
      </c>
      <c r="AD8" s="309" t="s">
        <v>15</v>
      </c>
      <c r="AE8" s="311" t="s">
        <v>1</v>
      </c>
      <c r="AF8" s="296"/>
      <c r="AG8" s="297"/>
      <c r="AH8" s="340" t="s">
        <v>16</v>
      </c>
      <c r="AI8" s="314" t="s">
        <v>14</v>
      </c>
      <c r="AJ8" s="309" t="s">
        <v>15</v>
      </c>
      <c r="AK8" s="311" t="s">
        <v>1</v>
      </c>
      <c r="AL8" s="296"/>
      <c r="AM8" s="296"/>
      <c r="AN8" s="296"/>
      <c r="AO8" s="297"/>
      <c r="AP8" s="340" t="s">
        <v>16</v>
      </c>
      <c r="AQ8" s="314" t="s">
        <v>17</v>
      </c>
      <c r="AR8" s="324" t="s">
        <v>15</v>
      </c>
      <c r="AS8" s="344"/>
      <c r="AT8" s="345"/>
      <c r="AU8" s="334"/>
      <c r="AV8" s="307"/>
    </row>
    <row r="9" spans="1:55" s="56" customFormat="1" ht="27" customHeight="1">
      <c r="A9" s="285"/>
      <c r="B9" s="352"/>
      <c r="C9" s="355"/>
      <c r="D9" s="355"/>
      <c r="E9" s="355"/>
      <c r="F9" s="199" t="s">
        <v>55</v>
      </c>
      <c r="G9" s="333"/>
      <c r="H9" s="74">
        <v>1</v>
      </c>
      <c r="I9" s="74">
        <v>2</v>
      </c>
      <c r="J9" s="74">
        <v>3</v>
      </c>
      <c r="K9" s="74">
        <v>4</v>
      </c>
      <c r="L9" s="74" t="s">
        <v>2</v>
      </c>
      <c r="M9" s="341"/>
      <c r="N9" s="315"/>
      <c r="O9" s="315"/>
      <c r="P9" s="315"/>
      <c r="Q9" s="61">
        <v>1</v>
      </c>
      <c r="R9" s="61">
        <v>2</v>
      </c>
      <c r="S9" s="61">
        <v>3</v>
      </c>
      <c r="T9" s="61">
        <v>4</v>
      </c>
      <c r="U9" s="61" t="s">
        <v>2</v>
      </c>
      <c r="V9" s="341"/>
      <c r="W9" s="315"/>
      <c r="X9" s="315"/>
      <c r="Y9" s="61">
        <v>1</v>
      </c>
      <c r="Z9" s="61">
        <v>2</v>
      </c>
      <c r="AA9" s="61" t="s">
        <v>2</v>
      </c>
      <c r="AB9" s="341"/>
      <c r="AC9" s="315"/>
      <c r="AD9" s="310"/>
      <c r="AE9" s="62">
        <v>1</v>
      </c>
      <c r="AF9" s="61">
        <v>2</v>
      </c>
      <c r="AG9" s="61" t="s">
        <v>2</v>
      </c>
      <c r="AH9" s="341"/>
      <c r="AI9" s="315"/>
      <c r="AJ9" s="310"/>
      <c r="AK9" s="62">
        <v>1</v>
      </c>
      <c r="AL9" s="192">
        <v>2</v>
      </c>
      <c r="AM9" s="192">
        <v>3</v>
      </c>
      <c r="AN9" s="192">
        <v>4</v>
      </c>
      <c r="AO9" s="192" t="s">
        <v>2</v>
      </c>
      <c r="AP9" s="341"/>
      <c r="AQ9" s="315"/>
      <c r="AR9" s="315"/>
      <c r="AS9" s="160" t="s">
        <v>31</v>
      </c>
      <c r="AT9" s="63" t="s">
        <v>14</v>
      </c>
      <c r="AU9" s="335"/>
      <c r="AV9" s="307"/>
    </row>
    <row r="10" spans="1:55" s="167" customFormat="1" ht="18.75" customHeight="1">
      <c r="A10" s="75" t="s">
        <v>5</v>
      </c>
      <c r="B10" s="64">
        <v>14</v>
      </c>
      <c r="C10" s="218">
        <v>63</v>
      </c>
      <c r="D10" s="65"/>
      <c r="E10" s="65"/>
      <c r="F10" s="236">
        <f>0+11+0</f>
        <v>11</v>
      </c>
      <c r="G10" s="248">
        <v>11</v>
      </c>
      <c r="H10" s="5">
        <f>0+63+0</f>
        <v>63</v>
      </c>
      <c r="I10" s="5"/>
      <c r="J10" s="5"/>
      <c r="K10" s="5"/>
      <c r="L10" s="5">
        <f>SUM(H10:K10)</f>
        <v>63</v>
      </c>
      <c r="M10" s="12">
        <f>H10</f>
        <v>63</v>
      </c>
      <c r="N10" s="252">
        <v>14</v>
      </c>
      <c r="O10" s="244">
        <v>78</v>
      </c>
      <c r="P10" s="13"/>
      <c r="Q10" s="5">
        <f>0+11+0</f>
        <v>11</v>
      </c>
      <c r="R10" s="5"/>
      <c r="S10" s="5"/>
      <c r="T10" s="5"/>
      <c r="U10" s="5">
        <f>SUM(Q10:T10)</f>
        <v>11</v>
      </c>
      <c r="V10" s="12">
        <f>0+11</f>
        <v>11</v>
      </c>
      <c r="W10" s="29"/>
      <c r="X10" s="13"/>
      <c r="Y10" s="82"/>
      <c r="Z10" s="83"/>
      <c r="AA10" s="83"/>
      <c r="AB10" s="84"/>
      <c r="AC10" s="85"/>
      <c r="AD10" s="86"/>
      <c r="AE10" s="87"/>
      <c r="AF10" s="83"/>
      <c r="AG10" s="83"/>
      <c r="AH10" s="84"/>
      <c r="AI10" s="85"/>
      <c r="AJ10" s="88"/>
      <c r="AK10" s="87"/>
      <c r="AL10" s="83"/>
      <c r="AM10" s="83"/>
      <c r="AN10" s="83"/>
      <c r="AO10" s="83"/>
      <c r="AP10" s="84"/>
      <c r="AQ10" s="85"/>
      <c r="AR10" s="90"/>
      <c r="AS10" s="42"/>
      <c r="AT10" s="42"/>
      <c r="AU10" s="182"/>
      <c r="AV10" s="46"/>
    </row>
    <row r="11" spans="1:55" s="56" customFormat="1" ht="18.75" customHeight="1">
      <c r="A11" s="22" t="s">
        <v>6</v>
      </c>
      <c r="B11" s="66">
        <v>32</v>
      </c>
      <c r="C11" s="218">
        <v>143</v>
      </c>
      <c r="D11" s="38"/>
      <c r="E11" s="67"/>
      <c r="F11" s="237">
        <f>0+13+0</f>
        <v>13</v>
      </c>
      <c r="G11" s="249">
        <v>13</v>
      </c>
      <c r="H11" s="3">
        <f>0+0+143</f>
        <v>143</v>
      </c>
      <c r="I11" s="3"/>
      <c r="J11" s="3"/>
      <c r="K11" s="3"/>
      <c r="L11" s="3">
        <f>SUM(H11:K11)</f>
        <v>143</v>
      </c>
      <c r="M11" s="7">
        <f>H11</f>
        <v>143</v>
      </c>
      <c r="N11" s="261">
        <v>31</v>
      </c>
      <c r="O11" s="242">
        <v>179</v>
      </c>
      <c r="P11" s="14"/>
      <c r="Q11" s="3">
        <f>0+0+13</f>
        <v>13</v>
      </c>
      <c r="R11" s="3"/>
      <c r="S11" s="3"/>
      <c r="T11" s="3"/>
      <c r="U11" s="3">
        <f>SUM(Q11:T11)</f>
        <v>13</v>
      </c>
      <c r="V11" s="7"/>
      <c r="W11" s="32"/>
      <c r="X11" s="14"/>
      <c r="Y11" s="91"/>
      <c r="Z11" s="91"/>
      <c r="AA11" s="91"/>
      <c r="AB11" s="92"/>
      <c r="AC11" s="93"/>
      <c r="AD11" s="94"/>
      <c r="AE11" s="95"/>
      <c r="AF11" s="91"/>
      <c r="AG11" s="91"/>
      <c r="AH11" s="92"/>
      <c r="AI11" s="93"/>
      <c r="AJ11" s="96"/>
      <c r="AK11" s="95"/>
      <c r="AL11" s="91"/>
      <c r="AM11" s="91"/>
      <c r="AN11" s="91"/>
      <c r="AO11" s="91"/>
      <c r="AP11" s="84"/>
      <c r="AQ11" s="93"/>
      <c r="AR11" s="97"/>
      <c r="AS11" s="43"/>
      <c r="AT11" s="43"/>
      <c r="AU11" s="183"/>
      <c r="AV11" s="47"/>
    </row>
    <row r="12" spans="1:55" s="56" customFormat="1" ht="18.75" customHeight="1">
      <c r="A12" s="22" t="s">
        <v>7</v>
      </c>
      <c r="B12" s="66">
        <v>13</v>
      </c>
      <c r="C12" s="218">
        <v>58</v>
      </c>
      <c r="D12" s="67"/>
      <c r="E12" s="38"/>
      <c r="F12" s="3">
        <f>0+11+0</f>
        <v>11</v>
      </c>
      <c r="G12" s="250">
        <v>11</v>
      </c>
      <c r="H12" s="3">
        <f>0+58+0</f>
        <v>58</v>
      </c>
      <c r="I12" s="3"/>
      <c r="J12" s="3"/>
      <c r="K12" s="3"/>
      <c r="L12" s="3">
        <f>SUM(H12:K12)</f>
        <v>58</v>
      </c>
      <c r="M12" s="7">
        <f t="shared" ref="M12:M13" si="0">H12</f>
        <v>58</v>
      </c>
      <c r="N12" s="253">
        <v>13</v>
      </c>
      <c r="O12" s="242">
        <v>59</v>
      </c>
      <c r="P12" s="14"/>
      <c r="Q12" s="3">
        <f>0+19+0</f>
        <v>19</v>
      </c>
      <c r="R12" s="3"/>
      <c r="S12" s="3"/>
      <c r="T12" s="3"/>
      <c r="U12" s="3">
        <f>SUM(Q12:T12)</f>
        <v>19</v>
      </c>
      <c r="V12" s="7">
        <f>0+19</f>
        <v>19</v>
      </c>
      <c r="W12" s="20"/>
      <c r="X12" s="20"/>
      <c r="Y12" s="91"/>
      <c r="Z12" s="98"/>
      <c r="AA12" s="91"/>
      <c r="AB12" s="92"/>
      <c r="AC12" s="99"/>
      <c r="AD12" s="100"/>
      <c r="AE12" s="95"/>
      <c r="AF12" s="91"/>
      <c r="AG12" s="91"/>
      <c r="AH12" s="92"/>
      <c r="AI12" s="93"/>
      <c r="AJ12" s="96"/>
      <c r="AK12" s="95"/>
      <c r="AL12" s="91"/>
      <c r="AM12" s="91"/>
      <c r="AN12" s="91"/>
      <c r="AO12" s="91"/>
      <c r="AP12" s="84"/>
      <c r="AQ12" s="93"/>
      <c r="AR12" s="97"/>
      <c r="AS12" s="43"/>
      <c r="AT12" s="43"/>
      <c r="AU12" s="183"/>
      <c r="AV12" s="48"/>
    </row>
    <row r="13" spans="1:55" s="56" customFormat="1" ht="18.75" customHeight="1">
      <c r="A13" s="23" t="s">
        <v>8</v>
      </c>
      <c r="B13" s="68">
        <v>4</v>
      </c>
      <c r="C13" s="219">
        <v>18</v>
      </c>
      <c r="D13" s="69"/>
      <c r="E13" s="69"/>
      <c r="F13" s="238">
        <f>0+9+0</f>
        <v>9</v>
      </c>
      <c r="G13" s="251">
        <v>9</v>
      </c>
      <c r="H13" s="4">
        <f>0+4+14</f>
        <v>18</v>
      </c>
      <c r="I13" s="4"/>
      <c r="J13" s="4"/>
      <c r="K13" s="4"/>
      <c r="L13" s="4">
        <f>SUM(H13:K13)</f>
        <v>18</v>
      </c>
      <c r="M13" s="7">
        <f t="shared" si="0"/>
        <v>18</v>
      </c>
      <c r="N13" s="254">
        <v>4</v>
      </c>
      <c r="O13" s="243">
        <v>18</v>
      </c>
      <c r="P13" s="14"/>
      <c r="Q13" s="4">
        <f>0+1+0</f>
        <v>1</v>
      </c>
      <c r="R13" s="4"/>
      <c r="S13" s="4"/>
      <c r="T13" s="4"/>
      <c r="U13" s="4">
        <f>SUM(Q13:T13)</f>
        <v>1</v>
      </c>
      <c r="V13" s="6">
        <f>0+1</f>
        <v>1</v>
      </c>
      <c r="W13" s="30"/>
      <c r="X13" s="4"/>
      <c r="Y13" s="101"/>
      <c r="Z13" s="101"/>
      <c r="AA13" s="101"/>
      <c r="AB13" s="102"/>
      <c r="AC13" s="103"/>
      <c r="AD13" s="104"/>
      <c r="AE13" s="105"/>
      <c r="AF13" s="101"/>
      <c r="AG13" s="101"/>
      <c r="AH13" s="102"/>
      <c r="AI13" s="103"/>
      <c r="AJ13" s="106"/>
      <c r="AK13" s="105"/>
      <c r="AL13" s="101"/>
      <c r="AM13" s="101"/>
      <c r="AN13" s="101"/>
      <c r="AO13" s="101"/>
      <c r="AP13" s="102"/>
      <c r="AQ13" s="103"/>
      <c r="AR13" s="101"/>
      <c r="AS13" s="44"/>
      <c r="AT13" s="44"/>
      <c r="AU13" s="184"/>
      <c r="AV13" s="49"/>
    </row>
    <row r="14" spans="1:55" s="56" customFormat="1" ht="17.25" customHeight="1">
      <c r="A14" s="169"/>
      <c r="B14" s="121">
        <f>SUM(B10:B13)</f>
        <v>63</v>
      </c>
      <c r="C14" s="121" t="s">
        <v>10</v>
      </c>
      <c r="D14" s="121">
        <f>SUM(C10:C13)</f>
        <v>282</v>
      </c>
      <c r="E14" s="121" t="s">
        <v>14</v>
      </c>
      <c r="F14" s="125">
        <f>SUM(F10:F13)</f>
        <v>44</v>
      </c>
      <c r="G14" s="125">
        <f>SUM(G10:G13)</f>
        <v>44</v>
      </c>
      <c r="H14" s="234">
        <f>SUM(H10:H13)</f>
        <v>282</v>
      </c>
      <c r="I14" s="123"/>
      <c r="J14" s="123"/>
      <c r="K14" s="123"/>
      <c r="L14" s="123">
        <f>SUM(L10:L13)</f>
        <v>282</v>
      </c>
      <c r="M14" s="123">
        <f t="shared" ref="M14:N14" si="1">SUM(M10:M13)</f>
        <v>282</v>
      </c>
      <c r="N14" s="123">
        <f t="shared" si="1"/>
        <v>62</v>
      </c>
      <c r="O14" s="123">
        <f>SUM(O10:O13)</f>
        <v>334</v>
      </c>
      <c r="P14" s="58">
        <f>O14*100/M14</f>
        <v>118.43971631205673</v>
      </c>
      <c r="Q14" s="119"/>
      <c r="R14" s="119"/>
      <c r="S14" s="119"/>
      <c r="T14" s="119"/>
      <c r="U14" s="119"/>
      <c r="V14" s="119"/>
      <c r="W14" s="119"/>
      <c r="X14" s="119"/>
      <c r="Y14" s="125"/>
      <c r="Z14" s="125"/>
      <c r="AA14" s="125"/>
      <c r="AB14" s="125"/>
      <c r="AC14" s="125"/>
      <c r="AD14" s="131"/>
      <c r="AE14" s="123"/>
      <c r="AF14" s="123"/>
      <c r="AG14" s="123"/>
      <c r="AH14" s="123"/>
      <c r="AI14" s="123"/>
      <c r="AJ14" s="126"/>
      <c r="AK14" s="127"/>
      <c r="AL14" s="123"/>
      <c r="AM14" s="123"/>
      <c r="AN14" s="123"/>
      <c r="AO14" s="123"/>
      <c r="AP14" s="123"/>
      <c r="AQ14" s="123"/>
      <c r="AR14" s="123"/>
      <c r="AS14" s="124"/>
      <c r="AT14" s="124">
        <f>SUM(AT10:AT13)</f>
        <v>0</v>
      </c>
      <c r="AU14" s="124">
        <f>SUM(AU10:AU13)</f>
        <v>0</v>
      </c>
      <c r="AV14" s="185"/>
    </row>
    <row r="15" spans="1:55" s="167" customFormat="1" ht="21" customHeight="1">
      <c r="A15" s="75" t="s">
        <v>5</v>
      </c>
      <c r="B15" s="1"/>
      <c r="C15" s="64">
        <v>9</v>
      </c>
      <c r="D15" s="220">
        <v>36</v>
      </c>
      <c r="E15" s="195"/>
      <c r="F15" s="202"/>
      <c r="G15" s="65"/>
      <c r="H15" s="108"/>
      <c r="I15" s="108"/>
      <c r="J15" s="108"/>
      <c r="K15" s="108"/>
      <c r="L15" s="108"/>
      <c r="M15" s="108"/>
      <c r="N15" s="108"/>
      <c r="O15" s="108"/>
      <c r="P15" s="108"/>
      <c r="Q15" s="107"/>
      <c r="R15" s="108"/>
      <c r="S15" s="108"/>
      <c r="T15" s="108"/>
      <c r="U15" s="108"/>
      <c r="V15" s="108"/>
      <c r="W15" s="108"/>
      <c r="X15" s="108"/>
      <c r="Y15" s="5">
        <f>0+0+27</f>
        <v>27</v>
      </c>
      <c r="Z15" s="5"/>
      <c r="AA15" s="5">
        <f>SUM(Y15:Z15)</f>
        <v>27</v>
      </c>
      <c r="AB15" s="113">
        <f>Y15</f>
        <v>27</v>
      </c>
      <c r="AC15" s="241">
        <v>27</v>
      </c>
      <c r="AD15" s="78"/>
      <c r="AE15" s="5">
        <f>0+9+0</f>
        <v>9</v>
      </c>
      <c r="AF15" s="5"/>
      <c r="AG15" s="5">
        <f>SUM(AE15:AF15)</f>
        <v>9</v>
      </c>
      <c r="AH15" s="113">
        <f>AE15</f>
        <v>9</v>
      </c>
      <c r="AI15" s="241">
        <v>9</v>
      </c>
      <c r="AJ15" s="78"/>
      <c r="AK15" s="214">
        <f>1+8+1</f>
        <v>10</v>
      </c>
      <c r="AL15" s="5">
        <f>8+1+8</f>
        <v>17</v>
      </c>
      <c r="AM15" s="5">
        <f>1+8+1</f>
        <v>10</v>
      </c>
      <c r="AN15" s="5">
        <f>8+5+4</f>
        <v>17</v>
      </c>
      <c r="AO15" s="5">
        <f>SUM(AK15:AN15)</f>
        <v>54</v>
      </c>
      <c r="AP15" s="8">
        <f>AK15+8</f>
        <v>18</v>
      </c>
      <c r="AQ15" s="241">
        <v>18</v>
      </c>
      <c r="AR15" s="5"/>
      <c r="AS15" s="161"/>
      <c r="AT15" s="163"/>
      <c r="AU15" s="182"/>
      <c r="AV15" s="50"/>
      <c r="AW15" s="56"/>
      <c r="AX15" s="40"/>
      <c r="AY15" s="56"/>
      <c r="AZ15" s="56"/>
      <c r="BA15" s="56"/>
      <c r="BB15" s="56"/>
      <c r="BC15" s="56"/>
    </row>
    <row r="16" spans="1:55" s="56" customFormat="1" ht="21" customHeight="1">
      <c r="A16" s="22" t="s">
        <v>6</v>
      </c>
      <c r="B16" s="2"/>
      <c r="C16" s="72">
        <v>3</v>
      </c>
      <c r="D16" s="218">
        <v>12</v>
      </c>
      <c r="E16" s="196"/>
      <c r="F16" s="201"/>
      <c r="G16" s="67"/>
      <c r="H16" s="110"/>
      <c r="I16" s="110"/>
      <c r="J16" s="110"/>
      <c r="K16" s="110"/>
      <c r="L16" s="110"/>
      <c r="M16" s="110"/>
      <c r="N16" s="110"/>
      <c r="O16" s="110"/>
      <c r="P16" s="110"/>
      <c r="Q16" s="109"/>
      <c r="R16" s="110"/>
      <c r="S16" s="110"/>
      <c r="T16" s="110"/>
      <c r="U16" s="110"/>
      <c r="V16" s="110"/>
      <c r="W16" s="110"/>
      <c r="X16" s="110"/>
      <c r="Y16" s="3">
        <f>0+0+9</f>
        <v>9</v>
      </c>
      <c r="Z16" s="3"/>
      <c r="AA16" s="3">
        <f>SUM(Y16:Z16)</f>
        <v>9</v>
      </c>
      <c r="AB16" s="12">
        <f>Y16</f>
        <v>9</v>
      </c>
      <c r="AC16" s="240">
        <v>9</v>
      </c>
      <c r="AD16" s="165"/>
      <c r="AE16" s="3">
        <f>0+0+3</f>
        <v>3</v>
      </c>
      <c r="AF16" s="3"/>
      <c r="AG16" s="3">
        <f>SUM(AE16:AF16)</f>
        <v>3</v>
      </c>
      <c r="AH16" s="114">
        <f>AE16</f>
        <v>3</v>
      </c>
      <c r="AI16" s="240">
        <v>3</v>
      </c>
      <c r="AJ16" s="165"/>
      <c r="AK16" s="215">
        <f>0+3+0</f>
        <v>3</v>
      </c>
      <c r="AL16" s="3">
        <f>3+0+3</f>
        <v>6</v>
      </c>
      <c r="AM16" s="3">
        <f>0+3+0</f>
        <v>3</v>
      </c>
      <c r="AN16" s="3">
        <f>3+1+2</f>
        <v>6</v>
      </c>
      <c r="AO16" s="3">
        <f>SUM(AK16:AN16)</f>
        <v>18</v>
      </c>
      <c r="AP16" s="12">
        <f>AK16+3</f>
        <v>6</v>
      </c>
      <c r="AQ16" s="277">
        <v>4</v>
      </c>
      <c r="AR16" s="14"/>
      <c r="AS16" s="162"/>
      <c r="AT16" s="164"/>
      <c r="AU16" s="183"/>
      <c r="AV16" s="51"/>
      <c r="AW16" s="189"/>
      <c r="AX16" s="40" t="s">
        <v>93</v>
      </c>
      <c r="AY16" s="167"/>
      <c r="AZ16" s="167"/>
      <c r="BA16" s="167"/>
      <c r="BB16" s="167"/>
      <c r="BC16" s="167"/>
    </row>
    <row r="17" spans="1:55" s="56" customFormat="1" ht="21" customHeight="1">
      <c r="A17" s="22" t="s">
        <v>7</v>
      </c>
      <c r="B17" s="2"/>
      <c r="C17" s="66">
        <v>7</v>
      </c>
      <c r="D17" s="218">
        <v>28</v>
      </c>
      <c r="E17" s="197"/>
      <c r="F17" s="201"/>
      <c r="G17" s="38"/>
      <c r="H17" s="110"/>
      <c r="I17" s="110"/>
      <c r="J17" s="110"/>
      <c r="K17" s="110"/>
      <c r="L17" s="110"/>
      <c r="M17" s="110"/>
      <c r="N17" s="110"/>
      <c r="O17" s="110"/>
      <c r="P17" s="110"/>
      <c r="Q17" s="109"/>
      <c r="R17" s="110"/>
      <c r="S17" s="110"/>
      <c r="T17" s="110"/>
      <c r="U17" s="110"/>
      <c r="V17" s="110"/>
      <c r="W17" s="110"/>
      <c r="X17" s="110"/>
      <c r="Y17" s="3">
        <f>0+0+21</f>
        <v>21</v>
      </c>
      <c r="Z17" s="3"/>
      <c r="AA17" s="3">
        <f>SUM(Y17:Z17)</f>
        <v>21</v>
      </c>
      <c r="AB17" s="12">
        <f t="shared" ref="AB17:AB18" si="2">Y17</f>
        <v>21</v>
      </c>
      <c r="AC17" s="240">
        <v>21</v>
      </c>
      <c r="AD17" s="165"/>
      <c r="AE17" s="3">
        <f>0+0+7</f>
        <v>7</v>
      </c>
      <c r="AF17" s="3"/>
      <c r="AG17" s="3">
        <f>SUM(AE17:AF17)</f>
        <v>7</v>
      </c>
      <c r="AH17" s="114">
        <f t="shared" ref="AH17:AH18" si="3">AE17</f>
        <v>7</v>
      </c>
      <c r="AI17" s="240">
        <v>7</v>
      </c>
      <c r="AJ17" s="165"/>
      <c r="AK17" s="215">
        <f>4+3+5</f>
        <v>12</v>
      </c>
      <c r="AL17" s="3">
        <f>3+4+2</f>
        <v>9</v>
      </c>
      <c r="AM17" s="3">
        <f>5+2+5</f>
        <v>12</v>
      </c>
      <c r="AN17" s="3">
        <f>2+7+0</f>
        <v>9</v>
      </c>
      <c r="AO17" s="3">
        <f>SUM(AK17:AN17)</f>
        <v>42</v>
      </c>
      <c r="AP17" s="12">
        <f>AK17+3</f>
        <v>15</v>
      </c>
      <c r="AQ17" s="240">
        <v>15</v>
      </c>
      <c r="AR17" s="3"/>
      <c r="AS17" s="162"/>
      <c r="AT17" s="164"/>
      <c r="AU17" s="183"/>
      <c r="AV17" s="51"/>
      <c r="AW17" s="190"/>
    </row>
    <row r="18" spans="1:55" s="56" customFormat="1" ht="21" customHeight="1">
      <c r="A18" s="23" t="s">
        <v>8</v>
      </c>
      <c r="B18" s="21"/>
      <c r="C18" s="68">
        <v>4</v>
      </c>
      <c r="D18" s="218">
        <v>16</v>
      </c>
      <c r="E18" s="198"/>
      <c r="F18" s="69"/>
      <c r="G18" s="69"/>
      <c r="H18" s="112"/>
      <c r="I18" s="112"/>
      <c r="J18" s="112"/>
      <c r="K18" s="112"/>
      <c r="L18" s="112"/>
      <c r="M18" s="112"/>
      <c r="N18" s="112"/>
      <c r="O18" s="112"/>
      <c r="P18" s="112"/>
      <c r="Q18" s="111"/>
      <c r="R18" s="112"/>
      <c r="S18" s="112"/>
      <c r="T18" s="112"/>
      <c r="U18" s="112"/>
      <c r="V18" s="112"/>
      <c r="W18" s="112"/>
      <c r="X18" s="112"/>
      <c r="Y18" s="3">
        <f>0+12+0</f>
        <v>12</v>
      </c>
      <c r="Z18" s="3"/>
      <c r="AA18" s="3">
        <f>SUM(Y18:Z18)</f>
        <v>12</v>
      </c>
      <c r="AB18" s="12">
        <f t="shared" si="2"/>
        <v>12</v>
      </c>
      <c r="AC18" s="280">
        <v>12</v>
      </c>
      <c r="AD18" s="165"/>
      <c r="AE18" s="4">
        <f>0+0+4</f>
        <v>4</v>
      </c>
      <c r="AF18" s="4"/>
      <c r="AG18" s="4">
        <f>SUM(AE18:AF18)</f>
        <v>4</v>
      </c>
      <c r="AH18" s="114">
        <f t="shared" si="3"/>
        <v>4</v>
      </c>
      <c r="AI18" s="261">
        <v>3</v>
      </c>
      <c r="AJ18" s="27"/>
      <c r="AK18" s="222">
        <f>0+3+1</f>
        <v>4</v>
      </c>
      <c r="AL18" s="4">
        <f>3+1+3</f>
        <v>7</v>
      </c>
      <c r="AM18" s="4">
        <f>1+3+1</f>
        <v>5</v>
      </c>
      <c r="AN18" s="4">
        <f>3+1+4</f>
        <v>8</v>
      </c>
      <c r="AO18" s="4">
        <f>SUM(AK18:AN18)</f>
        <v>24</v>
      </c>
      <c r="AP18" s="12">
        <f>AK18+3</f>
        <v>7</v>
      </c>
      <c r="AQ18" s="261">
        <v>5</v>
      </c>
      <c r="AR18" s="14"/>
      <c r="AS18" s="162"/>
      <c r="AT18" s="164"/>
      <c r="AU18" s="184"/>
      <c r="AV18" s="52"/>
      <c r="AW18" s="190"/>
      <c r="AX18" s="40" t="s">
        <v>94</v>
      </c>
    </row>
    <row r="19" spans="1:55" s="56" customFormat="1" ht="15.75" customHeight="1">
      <c r="A19" s="170"/>
      <c r="B19" s="122">
        <f>SUM(C15:C18)</f>
        <v>23</v>
      </c>
      <c r="C19" s="122" t="s">
        <v>10</v>
      </c>
      <c r="D19" s="122">
        <f>SUM(D15:D18)</f>
        <v>92</v>
      </c>
      <c r="E19" s="122" t="s">
        <v>14</v>
      </c>
      <c r="F19" s="123"/>
      <c r="G19" s="123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25">
        <f>SUM(Y15:Y18)</f>
        <v>69</v>
      </c>
      <c r="Z19" s="125"/>
      <c r="AA19" s="125">
        <f>SUM(AA15:AA18)</f>
        <v>69</v>
      </c>
      <c r="AB19" s="125">
        <f>SUM(AB15:AB18)</f>
        <v>69</v>
      </c>
      <c r="AC19" s="125">
        <f>SUM(AC15:AC18)</f>
        <v>69</v>
      </c>
      <c r="AD19" s="131">
        <f>AC19*100/AB19</f>
        <v>100</v>
      </c>
      <c r="AE19" s="123">
        <f>SUM(AE15:AE18)</f>
        <v>23</v>
      </c>
      <c r="AF19" s="123"/>
      <c r="AG19" s="123">
        <f>SUM(AG15:AG18)</f>
        <v>23</v>
      </c>
      <c r="AH19" s="123">
        <f>SUM(AH15:AH18)</f>
        <v>23</v>
      </c>
      <c r="AI19" s="123">
        <f>SUM(AI15:AI18)</f>
        <v>22</v>
      </c>
      <c r="AJ19" s="126">
        <f>AI19*100/AH19</f>
        <v>95.652173913043484</v>
      </c>
      <c r="AK19" s="127">
        <f>SUM(AK15:AK18)</f>
        <v>29</v>
      </c>
      <c r="AL19" s="123">
        <f>SUM(AL15:AL18)</f>
        <v>39</v>
      </c>
      <c r="AM19" s="123">
        <f t="shared" ref="AM19:AN19" si="4">SUM(AM15:AM18)</f>
        <v>30</v>
      </c>
      <c r="AN19" s="123">
        <f t="shared" si="4"/>
        <v>40</v>
      </c>
      <c r="AO19" s="123">
        <f>SUM(AO15:AO18)</f>
        <v>138</v>
      </c>
      <c r="AP19" s="123">
        <f>SUM(AP15:AP18)</f>
        <v>46</v>
      </c>
      <c r="AQ19" s="123">
        <f>SUM(AQ15:AQ18)</f>
        <v>42</v>
      </c>
      <c r="AR19" s="123">
        <f>AQ19*100/AP19</f>
        <v>91.304347826086953</v>
      </c>
      <c r="AS19" s="124"/>
      <c r="AT19" s="123">
        <f>SUM(AT15:AT18)</f>
        <v>0</v>
      </c>
      <c r="AU19" s="124">
        <f>SUM(AU15:AU18)</f>
        <v>0</v>
      </c>
      <c r="AV19" s="185"/>
      <c r="AW19" s="177"/>
    </row>
    <row r="20" spans="1:55" s="167" customFormat="1" ht="19.5" customHeight="1">
      <c r="A20" s="31" t="s">
        <v>5</v>
      </c>
      <c r="B20" s="79"/>
      <c r="C20" s="70"/>
      <c r="D20" s="71">
        <v>18</v>
      </c>
      <c r="E20" s="226">
        <v>72</v>
      </c>
      <c r="F20" s="200"/>
      <c r="G20" s="70"/>
      <c r="H20" s="108"/>
      <c r="I20" s="108"/>
      <c r="J20" s="108"/>
      <c r="K20" s="108"/>
      <c r="L20" s="108"/>
      <c r="M20" s="108"/>
      <c r="N20" s="108"/>
      <c r="O20" s="108"/>
      <c r="P20" s="108"/>
      <c r="Q20" s="107"/>
      <c r="R20" s="108"/>
      <c r="S20" s="108"/>
      <c r="T20" s="108"/>
      <c r="U20" s="108"/>
      <c r="V20" s="108"/>
      <c r="W20" s="108"/>
      <c r="X20" s="108"/>
      <c r="Y20" s="5">
        <f>0+0+54</f>
        <v>54</v>
      </c>
      <c r="Z20" s="5"/>
      <c r="AA20" s="5">
        <f>SUM(Y20:Z20)</f>
        <v>54</v>
      </c>
      <c r="AB20" s="113">
        <f>Y20</f>
        <v>54</v>
      </c>
      <c r="AC20" s="241">
        <v>54</v>
      </c>
      <c r="AD20" s="78"/>
      <c r="AE20" s="5">
        <f>0+18+0</f>
        <v>18</v>
      </c>
      <c r="AF20" s="5"/>
      <c r="AG20" s="13">
        <f>SUM(AE20:AF20)</f>
        <v>18</v>
      </c>
      <c r="AH20" s="12">
        <f>AE20</f>
        <v>18</v>
      </c>
      <c r="AI20" s="244">
        <v>18</v>
      </c>
      <c r="AJ20" s="25"/>
      <c r="AK20" s="214">
        <f>0+7+11</f>
        <v>18</v>
      </c>
      <c r="AL20" s="5">
        <f>0+6+12</f>
        <v>18</v>
      </c>
      <c r="AM20" s="5">
        <f>0+6+12</f>
        <v>18</v>
      </c>
      <c r="AN20" s="5">
        <f>0+9+9</f>
        <v>18</v>
      </c>
      <c r="AO20" s="13">
        <f>SUM(AK20:AN20)</f>
        <v>72</v>
      </c>
      <c r="AP20" s="12">
        <f>AK20</f>
        <v>18</v>
      </c>
      <c r="AQ20" s="244">
        <v>18</v>
      </c>
      <c r="AR20" s="13"/>
      <c r="AS20" s="162"/>
      <c r="AT20" s="164"/>
      <c r="AU20" s="182"/>
      <c r="AV20" s="50"/>
      <c r="AW20" s="177"/>
      <c r="AX20" s="56"/>
      <c r="AY20" s="56"/>
      <c r="AZ20" s="56"/>
      <c r="BA20" s="56"/>
      <c r="BB20" s="56"/>
      <c r="BC20" s="56"/>
    </row>
    <row r="21" spans="1:55" s="56" customFormat="1" ht="19.5" customHeight="1">
      <c r="A21" s="22" t="s">
        <v>6</v>
      </c>
      <c r="B21" s="2"/>
      <c r="C21" s="67"/>
      <c r="D21" s="72">
        <v>19</v>
      </c>
      <c r="E21" s="227">
        <v>80</v>
      </c>
      <c r="F21" s="67"/>
      <c r="G21" s="67"/>
      <c r="H21" s="110"/>
      <c r="I21" s="110"/>
      <c r="J21" s="110"/>
      <c r="K21" s="110"/>
      <c r="L21" s="110"/>
      <c r="M21" s="110"/>
      <c r="N21" s="110"/>
      <c r="O21" s="110"/>
      <c r="P21" s="110"/>
      <c r="Q21" s="109"/>
      <c r="R21" s="110"/>
      <c r="S21" s="110"/>
      <c r="T21" s="110"/>
      <c r="U21" s="110"/>
      <c r="V21" s="110"/>
      <c r="W21" s="110"/>
      <c r="X21" s="110"/>
      <c r="Y21" s="3">
        <f>0+0+57</f>
        <v>57</v>
      </c>
      <c r="Z21" s="3"/>
      <c r="AA21" s="3">
        <f>SUM(Y21:Z21)</f>
        <v>57</v>
      </c>
      <c r="AB21" s="12">
        <f>Y21</f>
        <v>57</v>
      </c>
      <c r="AC21" s="278">
        <v>58</v>
      </c>
      <c r="AD21" s="374"/>
      <c r="AE21" s="3">
        <f>0+0+19</f>
        <v>19</v>
      </c>
      <c r="AF21" s="3"/>
      <c r="AG21" s="3">
        <f>SUM(AE21:AF21)</f>
        <v>19</v>
      </c>
      <c r="AH21" s="7">
        <f>AE21</f>
        <v>19</v>
      </c>
      <c r="AI21" s="240">
        <v>19</v>
      </c>
      <c r="AJ21" s="375"/>
      <c r="AK21" s="215">
        <f>0+10+9</f>
        <v>19</v>
      </c>
      <c r="AL21" s="3">
        <f>4+11+4</f>
        <v>19</v>
      </c>
      <c r="AM21" s="3">
        <f>1+14+4</f>
        <v>19</v>
      </c>
      <c r="AN21" s="3">
        <f>3+16+0</f>
        <v>19</v>
      </c>
      <c r="AO21" s="3">
        <f>SUM(AK21:AN21)</f>
        <v>76</v>
      </c>
      <c r="AP21" s="12">
        <f>AK21+4</f>
        <v>23</v>
      </c>
      <c r="AQ21" s="240">
        <v>23</v>
      </c>
      <c r="AR21" s="14"/>
      <c r="AS21" s="162"/>
      <c r="AT21" s="164"/>
      <c r="AU21" s="183"/>
      <c r="AV21" s="51"/>
      <c r="AW21" s="191"/>
      <c r="AX21" s="167"/>
      <c r="AY21" s="167"/>
      <c r="AZ21" s="167"/>
      <c r="BA21" s="167"/>
      <c r="BB21" s="167"/>
      <c r="BC21" s="167"/>
    </row>
    <row r="22" spans="1:55" s="56" customFormat="1" ht="19.5" customHeight="1">
      <c r="A22" s="22" t="s">
        <v>7</v>
      </c>
      <c r="B22" s="2"/>
      <c r="C22" s="67"/>
      <c r="D22" s="66">
        <v>15</v>
      </c>
      <c r="E22" s="227">
        <v>56</v>
      </c>
      <c r="F22" s="38"/>
      <c r="G22" s="38"/>
      <c r="H22" s="110"/>
      <c r="I22" s="110"/>
      <c r="J22" s="110"/>
      <c r="K22" s="110"/>
      <c r="L22" s="110"/>
      <c r="M22" s="110"/>
      <c r="N22" s="110"/>
      <c r="O22" s="110"/>
      <c r="P22" s="110"/>
      <c r="Q22" s="109"/>
      <c r="R22" s="110"/>
      <c r="S22" s="110"/>
      <c r="T22" s="110"/>
      <c r="U22" s="110"/>
      <c r="V22" s="110"/>
      <c r="W22" s="110"/>
      <c r="X22" s="110"/>
      <c r="Y22" s="3">
        <f>0+0+45</f>
        <v>45</v>
      </c>
      <c r="Z22" s="3"/>
      <c r="AA22" s="3">
        <f>SUM(Y22:Z22)</f>
        <v>45</v>
      </c>
      <c r="AB22" s="12">
        <f t="shared" ref="AB22:AB23" si="5">Y22</f>
        <v>45</v>
      </c>
      <c r="AC22" s="280">
        <v>45</v>
      </c>
      <c r="AD22" s="374"/>
      <c r="AE22" s="3">
        <f>0+0+15</f>
        <v>15</v>
      </c>
      <c r="AF22" s="3"/>
      <c r="AG22" s="3">
        <f>SUM(AE22:AF22)</f>
        <v>15</v>
      </c>
      <c r="AH22" s="7">
        <f t="shared" ref="AH22:AH23" si="6">AE22</f>
        <v>15</v>
      </c>
      <c r="AI22" s="280">
        <v>15</v>
      </c>
      <c r="AJ22" s="375"/>
      <c r="AK22" s="215">
        <f>2+10+3</f>
        <v>15</v>
      </c>
      <c r="AL22" s="3">
        <f>7+5+3</f>
        <v>15</v>
      </c>
      <c r="AM22" s="3">
        <f>4+8+3</f>
        <v>15</v>
      </c>
      <c r="AN22" s="3">
        <f>5+10+0</f>
        <v>15</v>
      </c>
      <c r="AO22" s="3">
        <f>SUM(AK22:AN22)</f>
        <v>60</v>
      </c>
      <c r="AP22" s="12">
        <f>AK22+7</f>
        <v>22</v>
      </c>
      <c r="AQ22" s="261">
        <v>21</v>
      </c>
      <c r="AR22" s="14"/>
      <c r="AS22" s="162"/>
      <c r="AT22" s="164"/>
      <c r="AU22" s="183"/>
      <c r="AV22" s="51"/>
      <c r="AX22" s="40" t="s">
        <v>95</v>
      </c>
    </row>
    <row r="23" spans="1:55" s="56" customFormat="1" ht="19.5" customHeight="1">
      <c r="A23" s="23" t="s">
        <v>8</v>
      </c>
      <c r="B23" s="21"/>
      <c r="C23" s="69"/>
      <c r="D23" s="68">
        <v>10</v>
      </c>
      <c r="E23" s="228">
        <v>40</v>
      </c>
      <c r="F23" s="69"/>
      <c r="G23" s="69"/>
      <c r="H23" s="112"/>
      <c r="I23" s="112"/>
      <c r="J23" s="112"/>
      <c r="K23" s="112"/>
      <c r="L23" s="112"/>
      <c r="M23" s="112"/>
      <c r="N23" s="112"/>
      <c r="O23" s="112"/>
      <c r="P23" s="112"/>
      <c r="Q23" s="111"/>
      <c r="R23" s="112"/>
      <c r="S23" s="112"/>
      <c r="T23" s="112"/>
      <c r="U23" s="112"/>
      <c r="V23" s="112"/>
      <c r="W23" s="112"/>
      <c r="X23" s="112"/>
      <c r="Y23" s="3">
        <f>0+30+0</f>
        <v>30</v>
      </c>
      <c r="Z23" s="3"/>
      <c r="AA23" s="3">
        <f>SUM(Y23:Z23)</f>
        <v>30</v>
      </c>
      <c r="AB23" s="12">
        <f t="shared" si="5"/>
        <v>30</v>
      </c>
      <c r="AC23" s="280">
        <v>30</v>
      </c>
      <c r="AD23" s="165"/>
      <c r="AE23" s="4">
        <f>0+0+10</f>
        <v>10</v>
      </c>
      <c r="AF23" s="223"/>
      <c r="AG23" s="4">
        <f>SUM(AE23:AF23)</f>
        <v>10</v>
      </c>
      <c r="AH23" s="7">
        <f t="shared" si="6"/>
        <v>10</v>
      </c>
      <c r="AI23" s="242">
        <v>10</v>
      </c>
      <c r="AJ23" s="27"/>
      <c r="AK23" s="222">
        <f>2+3+5</f>
        <v>10</v>
      </c>
      <c r="AL23" s="4">
        <f>0+4+6</f>
        <v>10</v>
      </c>
      <c r="AM23" s="4">
        <f>1+3+6</f>
        <v>10</v>
      </c>
      <c r="AN23" s="4">
        <f>2+2+6</f>
        <v>10</v>
      </c>
      <c r="AO23" s="4">
        <f>SUM(AK23:AN23)</f>
        <v>40</v>
      </c>
      <c r="AP23" s="12">
        <f t="shared" ref="AP23" si="7">AK23</f>
        <v>10</v>
      </c>
      <c r="AQ23" s="261">
        <v>8</v>
      </c>
      <c r="AR23" s="14"/>
      <c r="AS23" s="162"/>
      <c r="AT23" s="164"/>
      <c r="AU23" s="184"/>
      <c r="AV23" s="52"/>
      <c r="AX23" s="40" t="s">
        <v>96</v>
      </c>
    </row>
    <row r="24" spans="1:55" s="168" customFormat="1" ht="17.25" customHeight="1">
      <c r="A24" s="171"/>
      <c r="B24" s="128">
        <f>SUM(D20:D23)</f>
        <v>62</v>
      </c>
      <c r="C24" s="122" t="s">
        <v>10</v>
      </c>
      <c r="D24" s="122">
        <f>SUM(E20:E23)</f>
        <v>248</v>
      </c>
      <c r="E24" s="122" t="s">
        <v>14</v>
      </c>
      <c r="F24" s="123"/>
      <c r="G24" s="123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5">
        <f>SUM(Y20:Y23)</f>
        <v>186</v>
      </c>
      <c r="Z24" s="125"/>
      <c r="AA24" s="123">
        <f>SUM(AA20:AA23)</f>
        <v>186</v>
      </c>
      <c r="AB24" s="123">
        <f t="shared" ref="AB24:AC24" si="8">SUM(AB20:AB23)</f>
        <v>186</v>
      </c>
      <c r="AC24" s="123">
        <f t="shared" si="8"/>
        <v>187</v>
      </c>
      <c r="AD24" s="126">
        <f>AC24*100/AB24</f>
        <v>100.53763440860214</v>
      </c>
      <c r="AE24" s="123">
        <f>SUM(AE20:AE23)</f>
        <v>62</v>
      </c>
      <c r="AF24" s="123"/>
      <c r="AG24" s="123">
        <f>SUM(AG20:AG23)</f>
        <v>62</v>
      </c>
      <c r="AH24" s="123">
        <f>SUM(AH20:AH23)</f>
        <v>62</v>
      </c>
      <c r="AI24" s="123">
        <f>SUM(AI20:AI23)</f>
        <v>62</v>
      </c>
      <c r="AJ24" s="126">
        <f>AI24*100/AH24</f>
        <v>100</v>
      </c>
      <c r="AK24" s="127">
        <f>SUM(AK20:AK23)</f>
        <v>62</v>
      </c>
      <c r="AL24" s="123">
        <f>SUM(AL20:AL23)</f>
        <v>62</v>
      </c>
      <c r="AM24" s="123">
        <f t="shared" ref="AM24" si="9">SUM(AM20:AM23)</f>
        <v>62</v>
      </c>
      <c r="AN24" s="123">
        <f t="shared" ref="AN24" si="10">SUM(AN20:AN23)</f>
        <v>62</v>
      </c>
      <c r="AO24" s="123">
        <f>SUM(AO20:AO23)</f>
        <v>248</v>
      </c>
      <c r="AP24" s="123">
        <f>SUM(AP20:AP23)</f>
        <v>73</v>
      </c>
      <c r="AQ24" s="123">
        <f>SUM(AQ20:AQ23)</f>
        <v>70</v>
      </c>
      <c r="AR24" s="123">
        <f>AQ24*100/AP24</f>
        <v>95.890410958904113</v>
      </c>
      <c r="AS24" s="124"/>
      <c r="AT24" s="123">
        <f>SUM(AT20:AT23)</f>
        <v>0</v>
      </c>
      <c r="AU24" s="124">
        <f>SUM(AU20:AU23)</f>
        <v>0</v>
      </c>
      <c r="AV24" s="124"/>
      <c r="AW24" s="56"/>
      <c r="AX24" s="56"/>
      <c r="AY24" s="56"/>
      <c r="AZ24" s="56"/>
      <c r="BA24" s="56"/>
      <c r="BB24" s="56"/>
      <c r="BC24" s="56"/>
    </row>
    <row r="25" spans="1:55" s="167" customFormat="1" ht="19.5" customHeight="1">
      <c r="A25" s="31" t="s">
        <v>5</v>
      </c>
      <c r="B25" s="79"/>
      <c r="C25" s="70"/>
      <c r="D25" s="70"/>
      <c r="E25" s="229">
        <v>3</v>
      </c>
      <c r="F25" s="221">
        <v>12</v>
      </c>
      <c r="G25" s="200"/>
      <c r="H25" s="108"/>
      <c r="I25" s="108"/>
      <c r="J25" s="108"/>
      <c r="K25" s="108"/>
      <c r="L25" s="108"/>
      <c r="M25" s="108"/>
      <c r="N25" s="108"/>
      <c r="O25" s="108"/>
      <c r="P25" s="89"/>
      <c r="Q25" s="90"/>
      <c r="R25" s="90"/>
      <c r="S25" s="90"/>
      <c r="T25" s="90"/>
      <c r="U25" s="90"/>
      <c r="V25" s="90"/>
      <c r="W25" s="90"/>
      <c r="X25" s="90"/>
      <c r="Y25" s="5">
        <f>0+0+9</f>
        <v>9</v>
      </c>
      <c r="Z25" s="5"/>
      <c r="AA25" s="13">
        <f>SUM(Y25:Z25)</f>
        <v>9</v>
      </c>
      <c r="AB25" s="12">
        <f>Y25</f>
        <v>9</v>
      </c>
      <c r="AC25" s="244">
        <v>9</v>
      </c>
      <c r="AD25" s="24"/>
      <c r="AE25" s="13">
        <f>0+0+3</f>
        <v>3</v>
      </c>
      <c r="AF25" s="3"/>
      <c r="AG25" s="13">
        <f>SUM(AE25:AF25)</f>
        <v>3</v>
      </c>
      <c r="AH25" s="12">
        <f>AE25</f>
        <v>3</v>
      </c>
      <c r="AI25" s="244">
        <v>3</v>
      </c>
      <c r="AJ25" s="26"/>
      <c r="AK25" s="214">
        <f>0+3+0</f>
        <v>3</v>
      </c>
      <c r="AL25" s="5">
        <f>3+0+3</f>
        <v>6</v>
      </c>
      <c r="AM25" s="5">
        <f>0+3+0</f>
        <v>3</v>
      </c>
      <c r="AN25" s="5">
        <f>3+0+3</f>
        <v>6</v>
      </c>
      <c r="AO25" s="5">
        <f>SUM(AK25:AN25)</f>
        <v>18</v>
      </c>
      <c r="AP25" s="12">
        <f>AK25+3</f>
        <v>6</v>
      </c>
      <c r="AQ25" s="244">
        <v>6</v>
      </c>
      <c r="AR25" s="13"/>
      <c r="AS25" s="162"/>
      <c r="AT25" s="164"/>
      <c r="AU25" s="182"/>
      <c r="AV25" s="53"/>
      <c r="AW25" s="168"/>
      <c r="AX25" s="40" t="s">
        <v>97</v>
      </c>
      <c r="AY25" s="168"/>
      <c r="AZ25" s="168"/>
      <c r="BA25" s="168"/>
      <c r="BB25" s="168"/>
      <c r="BC25" s="168"/>
    </row>
    <row r="26" spans="1:55" s="56" customFormat="1" ht="19.5" customHeight="1">
      <c r="A26" s="22" t="s">
        <v>6</v>
      </c>
      <c r="B26" s="2"/>
      <c r="C26" s="67"/>
      <c r="D26" s="38"/>
      <c r="E26" s="230">
        <v>2</v>
      </c>
      <c r="F26" s="218">
        <v>8</v>
      </c>
      <c r="G26" s="67"/>
      <c r="H26" s="110"/>
      <c r="I26" s="110"/>
      <c r="J26" s="110"/>
      <c r="K26" s="110"/>
      <c r="L26" s="110"/>
      <c r="M26" s="110"/>
      <c r="N26" s="203"/>
      <c r="O26" s="203"/>
      <c r="P26" s="204"/>
      <c r="Q26" s="91"/>
      <c r="R26" s="91"/>
      <c r="S26" s="91"/>
      <c r="T26" s="91"/>
      <c r="U26" s="91"/>
      <c r="V26" s="91"/>
      <c r="W26" s="97"/>
      <c r="X26" s="97"/>
      <c r="Y26" s="3">
        <f>0+0+6</f>
        <v>6</v>
      </c>
      <c r="Z26" s="3"/>
      <c r="AA26" s="3">
        <f>SUM(Y26:Z26)</f>
        <v>6</v>
      </c>
      <c r="AB26" s="7">
        <f>Y26</f>
        <v>6</v>
      </c>
      <c r="AC26" s="240">
        <v>6</v>
      </c>
      <c r="AD26" s="24"/>
      <c r="AE26" s="14">
        <f>0+0+2</f>
        <v>2</v>
      </c>
      <c r="AF26" s="14"/>
      <c r="AG26" s="3">
        <f>SUM(AE26:AF26)</f>
        <v>2</v>
      </c>
      <c r="AH26" s="7">
        <f>AE26</f>
        <v>2</v>
      </c>
      <c r="AI26" s="260">
        <v>2</v>
      </c>
      <c r="AJ26" s="26"/>
      <c r="AK26" s="215">
        <f>0+2+0</f>
        <v>2</v>
      </c>
      <c r="AL26" s="3">
        <f>2+0+2</f>
        <v>4</v>
      </c>
      <c r="AM26" s="3">
        <f>0+2+0</f>
        <v>2</v>
      </c>
      <c r="AN26" s="3">
        <f>2+2+0</f>
        <v>4</v>
      </c>
      <c r="AO26" s="3">
        <f>SUM(AK26:AN26)</f>
        <v>12</v>
      </c>
      <c r="AP26" s="12">
        <f>AK26+2</f>
        <v>4</v>
      </c>
      <c r="AQ26" s="240">
        <v>4</v>
      </c>
      <c r="AR26" s="14"/>
      <c r="AS26" s="162"/>
      <c r="AT26" s="164"/>
      <c r="AU26" s="183"/>
      <c r="AV26" s="45"/>
      <c r="AW26" s="189"/>
      <c r="AX26" s="40" t="s">
        <v>97</v>
      </c>
      <c r="AY26" s="167"/>
      <c r="AZ26" s="167"/>
      <c r="BA26" s="167"/>
      <c r="BB26" s="167"/>
      <c r="BC26" s="167"/>
    </row>
    <row r="27" spans="1:55" s="56" customFormat="1" ht="19.5" customHeight="1">
      <c r="A27" s="22" t="s">
        <v>7</v>
      </c>
      <c r="B27" s="2"/>
      <c r="C27" s="67"/>
      <c r="D27" s="67"/>
      <c r="E27" s="231">
        <v>7</v>
      </c>
      <c r="F27" s="218">
        <v>28</v>
      </c>
      <c r="G27" s="38"/>
      <c r="H27" s="110"/>
      <c r="I27" s="110"/>
      <c r="J27" s="110"/>
      <c r="K27" s="110"/>
      <c r="L27" s="110"/>
      <c r="M27" s="110"/>
      <c r="N27" s="203"/>
      <c r="O27" s="203"/>
      <c r="P27" s="204"/>
      <c r="Q27" s="91"/>
      <c r="R27" s="91"/>
      <c r="S27" s="91"/>
      <c r="T27" s="91"/>
      <c r="U27" s="91"/>
      <c r="V27" s="91"/>
      <c r="W27" s="97"/>
      <c r="X27" s="97"/>
      <c r="Y27" s="3">
        <f>0+0+21</f>
        <v>21</v>
      </c>
      <c r="Z27" s="3"/>
      <c r="AA27" s="3">
        <f>SUM(Y27:Z27)</f>
        <v>21</v>
      </c>
      <c r="AB27" s="7">
        <f t="shared" ref="AB27:AB28" si="11">Y27</f>
        <v>21</v>
      </c>
      <c r="AC27" s="282">
        <v>21</v>
      </c>
      <c r="AD27" s="24"/>
      <c r="AE27" s="14">
        <f>0+0+7</f>
        <v>7</v>
      </c>
      <c r="AF27" s="14"/>
      <c r="AG27" s="3">
        <f>SUM(AE27:AF27)</f>
        <v>7</v>
      </c>
      <c r="AH27" s="7">
        <f t="shared" ref="AH27:AH28" si="12">AE27</f>
        <v>7</v>
      </c>
      <c r="AI27" s="260">
        <v>7</v>
      </c>
      <c r="AJ27" s="26"/>
      <c r="AK27" s="215">
        <f>6+2+5</f>
        <v>13</v>
      </c>
      <c r="AL27" s="3">
        <f>1+5+2</f>
        <v>8</v>
      </c>
      <c r="AM27" s="3">
        <f>6+1+6</f>
        <v>13</v>
      </c>
      <c r="AN27" s="3">
        <f>1+7+0</f>
        <v>8</v>
      </c>
      <c r="AO27" s="3">
        <f>SUM(AK27:AN27)</f>
        <v>42</v>
      </c>
      <c r="AP27" s="12">
        <f>AK27+1</f>
        <v>14</v>
      </c>
      <c r="AQ27" s="242">
        <v>14</v>
      </c>
      <c r="AR27" s="14"/>
      <c r="AS27" s="162"/>
      <c r="AT27" s="164"/>
      <c r="AU27" s="183"/>
      <c r="AV27" s="54"/>
      <c r="AW27" s="40"/>
      <c r="AX27" s="40" t="s">
        <v>97</v>
      </c>
    </row>
    <row r="28" spans="1:55" s="56" customFormat="1" ht="19.5" customHeight="1">
      <c r="A28" s="23" t="s">
        <v>8</v>
      </c>
      <c r="B28" s="21"/>
      <c r="C28" s="69"/>
      <c r="D28" s="69"/>
      <c r="E28" s="232">
        <v>6</v>
      </c>
      <c r="F28" s="219">
        <v>24</v>
      </c>
      <c r="G28" s="69"/>
      <c r="H28" s="112"/>
      <c r="I28" s="112"/>
      <c r="J28" s="112"/>
      <c r="K28" s="112"/>
      <c r="L28" s="112"/>
      <c r="M28" s="112"/>
      <c r="N28" s="112"/>
      <c r="O28" s="112"/>
      <c r="P28" s="205"/>
      <c r="Q28" s="101"/>
      <c r="R28" s="101"/>
      <c r="S28" s="101"/>
      <c r="T28" s="101"/>
      <c r="U28" s="101"/>
      <c r="V28" s="101"/>
      <c r="W28" s="101"/>
      <c r="X28" s="101"/>
      <c r="Y28" s="4">
        <f>0+18+0</f>
        <v>18</v>
      </c>
      <c r="Z28" s="4"/>
      <c r="AA28" s="4">
        <f>SUM(Y28:Z28)</f>
        <v>18</v>
      </c>
      <c r="AB28" s="7">
        <f t="shared" si="11"/>
        <v>18</v>
      </c>
      <c r="AC28" s="281">
        <v>18</v>
      </c>
      <c r="AD28" s="24"/>
      <c r="AE28" s="4">
        <f>0+0+6</f>
        <v>6</v>
      </c>
      <c r="AF28" s="223"/>
      <c r="AG28" s="4">
        <f>SUM(AE28:AF28)</f>
        <v>6</v>
      </c>
      <c r="AH28" s="7">
        <f t="shared" si="12"/>
        <v>6</v>
      </c>
      <c r="AI28" s="260">
        <v>6</v>
      </c>
      <c r="AJ28" s="27"/>
      <c r="AK28" s="222">
        <f>1+4+2</f>
        <v>7</v>
      </c>
      <c r="AL28" s="4">
        <f>4+2+4</f>
        <v>10</v>
      </c>
      <c r="AM28" s="4">
        <f>2+4+2</f>
        <v>8</v>
      </c>
      <c r="AN28" s="4">
        <f>4+2+5</f>
        <v>11</v>
      </c>
      <c r="AO28" s="4">
        <f>SUM(AK28:AN28)</f>
        <v>36</v>
      </c>
      <c r="AP28" s="12">
        <f>AK28+4</f>
        <v>11</v>
      </c>
      <c r="AQ28" s="261">
        <v>9</v>
      </c>
      <c r="AR28" s="14"/>
      <c r="AS28" s="162"/>
      <c r="AT28" s="164"/>
      <c r="AU28" s="184"/>
      <c r="AV28" s="55"/>
      <c r="AX28" s="40" t="s">
        <v>98</v>
      </c>
    </row>
    <row r="29" spans="1:55" ht="21.75" customHeight="1">
      <c r="A29" s="172"/>
      <c r="B29" s="128">
        <f>SUM(E25:E28)</f>
        <v>18</v>
      </c>
      <c r="C29" s="122" t="s">
        <v>10</v>
      </c>
      <c r="D29" s="122">
        <f>SUM(F25:F28)</f>
        <v>72</v>
      </c>
      <c r="E29" s="122" t="s">
        <v>14</v>
      </c>
      <c r="F29" s="123"/>
      <c r="G29" s="123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5">
        <f>SUM(Y25:Y28)</f>
        <v>54</v>
      </c>
      <c r="Z29" s="125">
        <f>SUM(Z25:Z28)</f>
        <v>0</v>
      </c>
      <c r="AA29" s="125">
        <f>SUM(AA25:AA28)</f>
        <v>54</v>
      </c>
      <c r="AB29" s="125">
        <f>SUM(AB25:AB28)</f>
        <v>54</v>
      </c>
      <c r="AC29" s="125">
        <f>SUM(AC25:AC28)</f>
        <v>54</v>
      </c>
      <c r="AD29" s="131">
        <f>AC29*100/AB29</f>
        <v>100</v>
      </c>
      <c r="AE29" s="123">
        <f>SUM(AE25:AE28)</f>
        <v>18</v>
      </c>
      <c r="AF29" s="123">
        <f>SUM(AF25:AF28)</f>
        <v>0</v>
      </c>
      <c r="AG29" s="123">
        <f>SUM(AG25:AG28)</f>
        <v>18</v>
      </c>
      <c r="AH29" s="123">
        <f>SUM(AH25:AH28)</f>
        <v>18</v>
      </c>
      <c r="AI29" s="123">
        <f>SUM(AI25:AI28)</f>
        <v>18</v>
      </c>
      <c r="AJ29" s="126"/>
      <c r="AK29" s="127">
        <f>SUM(AK25:AK28)</f>
        <v>25</v>
      </c>
      <c r="AL29" s="123">
        <f>SUM(AL25:AL28)</f>
        <v>28</v>
      </c>
      <c r="AM29" s="123">
        <f t="shared" ref="AM29" si="13">SUM(AM25:AM28)</f>
        <v>26</v>
      </c>
      <c r="AN29" s="123">
        <f t="shared" ref="AN29" si="14">SUM(AN25:AN28)</f>
        <v>29</v>
      </c>
      <c r="AO29" s="123">
        <f>SUM(AO25:AO28)</f>
        <v>108</v>
      </c>
      <c r="AP29" s="123">
        <f>SUM(AP25:AP28)</f>
        <v>35</v>
      </c>
      <c r="AQ29" s="123">
        <f>SUM(AQ25:AQ28)</f>
        <v>33</v>
      </c>
      <c r="AR29" s="123">
        <f>AQ29*100/AP29</f>
        <v>94.285714285714292</v>
      </c>
      <c r="AS29" s="124"/>
      <c r="AT29" s="123">
        <f>SUM(AT25:AT28)</f>
        <v>0</v>
      </c>
      <c r="AU29" s="124">
        <f>SUM(AU25:AU28)</f>
        <v>0</v>
      </c>
      <c r="AV29" s="185"/>
      <c r="AW29" s="56"/>
      <c r="AX29" s="56"/>
      <c r="AY29" s="56"/>
      <c r="AZ29" s="56"/>
      <c r="BA29" s="56"/>
      <c r="BB29" s="56"/>
      <c r="BC29" s="56"/>
    </row>
    <row r="30" spans="1:55" ht="19.5" customHeight="1">
      <c r="A30" s="57" t="s">
        <v>4</v>
      </c>
      <c r="B30" s="58">
        <f>B14+B19+B24+B29</f>
        <v>166</v>
      </c>
      <c r="C30" s="129" t="s">
        <v>10</v>
      </c>
      <c r="D30" s="58">
        <f>D14+D19+D24+D29</f>
        <v>694</v>
      </c>
      <c r="E30" s="233" t="s">
        <v>14</v>
      </c>
      <c r="F30" s="58"/>
      <c r="G30" s="58"/>
      <c r="H30" s="235">
        <f>H14</f>
        <v>282</v>
      </c>
      <c r="I30" s="58">
        <f t="shared" ref="I30:N30" si="15">I14</f>
        <v>0</v>
      </c>
      <c r="J30" s="58">
        <f t="shared" si="15"/>
        <v>0</v>
      </c>
      <c r="K30" s="58">
        <f t="shared" si="15"/>
        <v>0</v>
      </c>
      <c r="L30" s="58">
        <f t="shared" si="15"/>
        <v>282</v>
      </c>
      <c r="M30" s="58">
        <f t="shared" si="15"/>
        <v>282</v>
      </c>
      <c r="N30" s="58">
        <f t="shared" si="15"/>
        <v>62</v>
      </c>
      <c r="O30" s="376">
        <f>O14</f>
        <v>334</v>
      </c>
      <c r="P30" s="58">
        <f>O30*100/M30</f>
        <v>118.43971631205673</v>
      </c>
      <c r="Q30" s="58">
        <f>SUM(Q10:Q28)</f>
        <v>44</v>
      </c>
      <c r="R30" s="58">
        <f t="shared" ref="R30:X30" si="16">SUM(R10:R28)</f>
        <v>0</v>
      </c>
      <c r="S30" s="58">
        <f t="shared" si="16"/>
        <v>0</v>
      </c>
      <c r="T30" s="58">
        <f t="shared" si="16"/>
        <v>0</v>
      </c>
      <c r="U30" s="58">
        <f t="shared" si="16"/>
        <v>44</v>
      </c>
      <c r="V30" s="58">
        <f t="shared" si="16"/>
        <v>31</v>
      </c>
      <c r="W30" s="58">
        <f t="shared" si="16"/>
        <v>0</v>
      </c>
      <c r="X30" s="58">
        <f t="shared" si="16"/>
        <v>0</v>
      </c>
      <c r="Y30" s="58">
        <f>Y19+Y24+Y29</f>
        <v>309</v>
      </c>
      <c r="Z30" s="58">
        <f t="shared" ref="Z30" si="17">Z19+Z24+Z29</f>
        <v>0</v>
      </c>
      <c r="AA30" s="58">
        <f>AA19+AA24+AA29</f>
        <v>309</v>
      </c>
      <c r="AB30" s="58">
        <f>AB19+AB24+AB29</f>
        <v>309</v>
      </c>
      <c r="AC30" s="376">
        <f>AC19+AC24+AC29</f>
        <v>310</v>
      </c>
      <c r="AD30" s="130">
        <f>AC30*100/AB30</f>
        <v>100.32362459546925</v>
      </c>
      <c r="AE30" s="58">
        <f t="shared" ref="AE30:AF30" si="18">AE19+AE24+AE29</f>
        <v>103</v>
      </c>
      <c r="AF30" s="58">
        <f t="shared" si="18"/>
        <v>0</v>
      </c>
      <c r="AG30" s="58">
        <f>AG19+AG24+AG29</f>
        <v>103</v>
      </c>
      <c r="AH30" s="58">
        <f>AH19+AH24+AH29</f>
        <v>103</v>
      </c>
      <c r="AI30" s="376">
        <f>AI19+AI24+AI29</f>
        <v>102</v>
      </c>
      <c r="AJ30" s="130">
        <f>AI30*100/AH30</f>
        <v>99.029126213592235</v>
      </c>
      <c r="AK30" s="216">
        <f>AK19+AK24+AK29</f>
        <v>116</v>
      </c>
      <c r="AL30" s="58">
        <f>AL19+AL24+AL29</f>
        <v>129</v>
      </c>
      <c r="AM30" s="58">
        <f t="shared" ref="AM30:AN30" si="19">AM19+AM24+AM29</f>
        <v>118</v>
      </c>
      <c r="AN30" s="58">
        <f t="shared" si="19"/>
        <v>131</v>
      </c>
      <c r="AO30" s="58">
        <f>AO19+AO24+AO29</f>
        <v>494</v>
      </c>
      <c r="AP30" s="58">
        <f>AP19+AP24+AP29</f>
        <v>154</v>
      </c>
      <c r="AQ30" s="58">
        <f>AQ19+AQ24+AQ29</f>
        <v>145</v>
      </c>
      <c r="AR30" s="58">
        <f>AQ30*100/AP30</f>
        <v>94.15584415584415</v>
      </c>
      <c r="AS30" s="58"/>
      <c r="AT30" s="58">
        <f>AT14+AT19+AT24+AT29</f>
        <v>0</v>
      </c>
      <c r="AU30" s="58">
        <f>AU14+AU19+AU24+AU29</f>
        <v>0</v>
      </c>
      <c r="AV30" s="58"/>
    </row>
    <row r="31" spans="1:55" ht="15" customHeight="1">
      <c r="A31" s="9"/>
      <c r="B31" s="80"/>
      <c r="AC31" s="39"/>
      <c r="AI31" s="73"/>
      <c r="AQ31" s="39"/>
    </row>
    <row r="32" spans="1:55" ht="24.75" customHeight="1">
      <c r="A32" s="9"/>
      <c r="B32" s="80"/>
      <c r="Y32" s="10" t="s">
        <v>90</v>
      </c>
      <c r="AC32" s="39"/>
      <c r="AI32" s="73"/>
      <c r="AQ32" s="39"/>
    </row>
    <row r="33" spans="1:49" ht="24.75" customHeight="1">
      <c r="A33" s="9"/>
      <c r="B33" s="80"/>
      <c r="Y33" s="10" t="s">
        <v>91</v>
      </c>
      <c r="AC33" s="39"/>
      <c r="AI33" s="73"/>
      <c r="AQ33" s="39"/>
      <c r="AR33" s="39"/>
      <c r="AS33" s="39">
        <f>AO15+AO20+AO25</f>
        <v>144</v>
      </c>
      <c r="AT33" s="39">
        <f>AP15+AP20+AP25</f>
        <v>42</v>
      </c>
      <c r="AW33" s="10"/>
    </row>
    <row r="34" spans="1:49" ht="24.75" customHeight="1">
      <c r="A34" s="9"/>
      <c r="B34" s="80"/>
      <c r="Y34" s="10" t="s">
        <v>92</v>
      </c>
      <c r="AC34" s="39"/>
      <c r="AI34" s="73"/>
      <c r="AQ34" s="39"/>
      <c r="AR34" s="39"/>
      <c r="AS34" s="39">
        <f>AO16+AO21+AO26</f>
        <v>106</v>
      </c>
      <c r="AT34" s="39">
        <f>AP16+AP21+AP26</f>
        <v>33</v>
      </c>
      <c r="AW34" s="10"/>
    </row>
    <row r="35" spans="1:49" ht="24.75" customHeight="1">
      <c r="A35" s="9"/>
      <c r="B35" s="80"/>
      <c r="AC35" s="39"/>
      <c r="AI35" s="73"/>
      <c r="AQ35" s="39"/>
      <c r="AR35" s="39"/>
      <c r="AS35" s="39">
        <f t="shared" ref="AS35:AT36" si="20">AO17+AO22+AO27</f>
        <v>144</v>
      </c>
      <c r="AT35" s="39">
        <f t="shared" si="20"/>
        <v>51</v>
      </c>
      <c r="AW35" s="10"/>
    </row>
    <row r="36" spans="1:49" ht="30.75" customHeight="1">
      <c r="A36" s="9"/>
      <c r="B36" s="80"/>
      <c r="AC36" s="39"/>
      <c r="AI36" s="73"/>
      <c r="AQ36" s="39"/>
      <c r="AR36" s="39"/>
      <c r="AS36" s="39">
        <f t="shared" si="20"/>
        <v>100</v>
      </c>
      <c r="AT36" s="39">
        <f t="shared" si="20"/>
        <v>28</v>
      </c>
      <c r="AW36" s="10"/>
    </row>
    <row r="37" spans="1:49" ht="30.75" customHeight="1">
      <c r="A37" s="9"/>
      <c r="B37" s="80"/>
      <c r="AC37" s="39"/>
      <c r="AI37" s="73"/>
      <c r="AQ37" s="39"/>
      <c r="AR37" s="39"/>
      <c r="AS37" s="39">
        <f>SUM(AS33:AS36)</f>
        <v>494</v>
      </c>
      <c r="AT37" s="39">
        <f>SUM(AT33:AT36)</f>
        <v>154</v>
      </c>
      <c r="AW37" s="10"/>
    </row>
    <row r="38" spans="1:49" ht="30.75" customHeight="1">
      <c r="A38" s="9"/>
      <c r="B38" s="80"/>
      <c r="AC38" s="39"/>
      <c r="AI38" s="73"/>
      <c r="AQ38" s="39"/>
    </row>
    <row r="39" spans="1:49" ht="30.75" customHeight="1">
      <c r="A39" s="9"/>
      <c r="B39" s="80"/>
      <c r="AC39" s="39"/>
      <c r="AI39" s="73"/>
      <c r="AQ39" s="39"/>
    </row>
    <row r="40" spans="1:49" ht="30.75" customHeight="1">
      <c r="A40" s="9"/>
      <c r="B40" s="80"/>
      <c r="K40" s="10" t="s">
        <v>81</v>
      </c>
      <c r="AA40" s="10" t="s">
        <v>79</v>
      </c>
      <c r="AC40" s="39"/>
      <c r="AG40" s="10" t="s">
        <v>80</v>
      </c>
      <c r="AI40" s="73"/>
      <c r="AP40" s="39">
        <f>AO15+AO20+AO25</f>
        <v>144</v>
      </c>
      <c r="AQ40" s="39"/>
    </row>
    <row r="41" spans="1:49" ht="30.75" customHeight="1">
      <c r="A41" s="9"/>
      <c r="B41" s="80"/>
      <c r="H41" s="10" t="s">
        <v>5</v>
      </c>
      <c r="L41" s="225">
        <f>L10</f>
        <v>63</v>
      </c>
      <c r="AA41" s="39">
        <f>AA15+AA20+AA25</f>
        <v>90</v>
      </c>
      <c r="AC41" s="39"/>
      <c r="AG41" s="39">
        <f>AG15+AG20+AG25</f>
        <v>30</v>
      </c>
      <c r="AI41" s="73"/>
      <c r="AP41" s="39">
        <f t="shared" ref="AP41:AP43" si="21">AO16+AO21+AO26</f>
        <v>106</v>
      </c>
      <c r="AQ41" s="39"/>
    </row>
    <row r="42" spans="1:49" ht="30.75" customHeight="1">
      <c r="A42" s="9"/>
      <c r="B42" s="80"/>
      <c r="F42" s="10" t="s">
        <v>6</v>
      </c>
      <c r="G42" s="10" t="s">
        <v>76</v>
      </c>
      <c r="H42" s="10" t="s">
        <v>6</v>
      </c>
      <c r="L42" s="39">
        <f t="shared" ref="L42:L44" si="22">L11</f>
        <v>143</v>
      </c>
      <c r="AA42" s="39">
        <f t="shared" ref="AA42:AA44" si="23">AA16+AA21+AA26</f>
        <v>72</v>
      </c>
      <c r="AC42" s="39"/>
      <c r="AG42" s="39">
        <f t="shared" ref="AG42:AG44" si="24">AG16+AG21+AG26</f>
        <v>24</v>
      </c>
      <c r="AI42" s="73"/>
      <c r="AP42" s="39">
        <f t="shared" si="21"/>
        <v>144</v>
      </c>
      <c r="AQ42" s="39"/>
    </row>
    <row r="43" spans="1:49" ht="30.75" customHeight="1">
      <c r="A43" s="9"/>
      <c r="B43" s="80"/>
      <c r="H43" s="10" t="s">
        <v>7</v>
      </c>
      <c r="L43" s="39">
        <f t="shared" si="22"/>
        <v>58</v>
      </c>
      <c r="AA43" s="39">
        <f t="shared" si="23"/>
        <v>87</v>
      </c>
      <c r="AC43" s="39"/>
      <c r="AG43" s="39">
        <f t="shared" si="24"/>
        <v>29</v>
      </c>
      <c r="AI43" s="73"/>
      <c r="AP43" s="39">
        <f t="shared" si="21"/>
        <v>100</v>
      </c>
      <c r="AQ43" s="39"/>
    </row>
    <row r="44" spans="1:49" ht="30.75" customHeight="1">
      <c r="A44" s="9"/>
      <c r="B44" s="80"/>
      <c r="H44" s="10" t="s">
        <v>8</v>
      </c>
      <c r="L44" s="39">
        <f t="shared" si="22"/>
        <v>18</v>
      </c>
      <c r="AA44" s="39">
        <f t="shared" si="23"/>
        <v>60</v>
      </c>
      <c r="AC44" s="39"/>
      <c r="AG44" s="39">
        <f t="shared" si="24"/>
        <v>20</v>
      </c>
      <c r="AI44" s="73"/>
      <c r="AQ44" s="39"/>
    </row>
    <row r="45" spans="1:49" ht="30.75" customHeight="1">
      <c r="A45" s="9"/>
      <c r="B45" s="80"/>
      <c r="L45" s="224">
        <f>SUM(L41:L44)</f>
        <v>282</v>
      </c>
      <c r="AA45" s="224">
        <f>SUM(AA41:AA44)</f>
        <v>309</v>
      </c>
      <c r="AB45" s="11"/>
      <c r="AC45" s="224"/>
      <c r="AD45" s="11"/>
      <c r="AE45" s="11"/>
      <c r="AF45" s="11"/>
      <c r="AG45" s="224">
        <f>SUM(AG41:AG44)</f>
        <v>103</v>
      </c>
      <c r="AH45" s="11"/>
      <c r="AI45" s="73"/>
      <c r="AK45" s="224">
        <f>L45+AA45+AG45</f>
        <v>694</v>
      </c>
      <c r="AQ45" s="39"/>
    </row>
    <row r="46" spans="1:49" ht="30.75" customHeight="1">
      <c r="A46" s="9"/>
      <c r="B46" s="80"/>
      <c r="AC46" s="39"/>
      <c r="AI46" s="73"/>
      <c r="AK46" s="39"/>
      <c r="AQ46" s="39"/>
    </row>
    <row r="47" spans="1:49" ht="30.75" customHeight="1" thickBot="1">
      <c r="A47" s="9"/>
      <c r="B47" s="80"/>
      <c r="AC47" s="39"/>
      <c r="AI47" s="73"/>
      <c r="AQ47" s="39"/>
    </row>
    <row r="48" spans="1:49" ht="19.5" customHeight="1">
      <c r="C48" s="206" t="s">
        <v>32</v>
      </c>
      <c r="D48" s="207"/>
      <c r="E48" s="208"/>
      <c r="F48" s="208"/>
      <c r="G48" s="208"/>
      <c r="H48" s="208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34"/>
      <c r="AN48" s="39"/>
      <c r="AQ48" s="39" t="s">
        <v>43</v>
      </c>
      <c r="AT48" s="40"/>
      <c r="AU48" s="40"/>
    </row>
    <row r="49" spans="3:48" ht="19.5" customHeight="1">
      <c r="C49" s="132" t="s">
        <v>9</v>
      </c>
      <c r="D49" s="210" t="s">
        <v>57</v>
      </c>
      <c r="E49" s="35"/>
      <c r="F49" s="35"/>
      <c r="G49" s="35"/>
      <c r="H49" s="35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34"/>
      <c r="AA49" s="193"/>
      <c r="AB49" s="180" t="s">
        <v>51</v>
      </c>
      <c r="AF49" s="39"/>
      <c r="AK49" s="173"/>
      <c r="AL49" s="173"/>
      <c r="AM49" s="178"/>
      <c r="AN49" s="39"/>
      <c r="AS49" s="28"/>
      <c r="AT49" s="179"/>
      <c r="AU49" s="179"/>
      <c r="AV49" s="28"/>
    </row>
    <row r="50" spans="3:48" ht="19.5" customHeight="1">
      <c r="C50" s="41"/>
      <c r="D50" s="211" t="s">
        <v>58</v>
      </c>
      <c r="E50" s="35"/>
      <c r="F50" s="35"/>
      <c r="G50" s="35"/>
      <c r="H50" s="35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34"/>
      <c r="AA50" s="193"/>
      <c r="AB50" s="181" t="s">
        <v>52</v>
      </c>
      <c r="AG50" s="39"/>
      <c r="AK50" s="189"/>
      <c r="AL50" s="56"/>
      <c r="AS50" s="28"/>
      <c r="AT50" s="179"/>
      <c r="AU50" s="179"/>
      <c r="AV50" s="28"/>
    </row>
    <row r="51" spans="3:48" ht="19.5" customHeight="1">
      <c r="C51" s="212"/>
      <c r="D51" s="210" t="s">
        <v>59</v>
      </c>
      <c r="E51" s="35"/>
      <c r="F51" s="35"/>
      <c r="G51" s="35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34"/>
      <c r="AB51" s="39"/>
      <c r="AK51" s="190"/>
      <c r="AL51" s="167"/>
      <c r="AU51" s="40"/>
    </row>
    <row r="52" spans="3:48" ht="19.5" customHeight="1">
      <c r="C52" s="212"/>
      <c r="D52" s="211" t="s">
        <v>60</v>
      </c>
      <c r="E52" s="35"/>
      <c r="F52" s="35"/>
      <c r="G52" s="35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34"/>
      <c r="AA52" s="33"/>
      <c r="AK52" s="190"/>
      <c r="AL52" s="56"/>
    </row>
    <row r="53" spans="3:48" ht="19.5" customHeight="1">
      <c r="C53" s="132"/>
      <c r="D53" s="211" t="s">
        <v>61</v>
      </c>
      <c r="E53" s="35"/>
      <c r="F53" s="35"/>
      <c r="G53" s="35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34"/>
      <c r="AA53" s="33"/>
    </row>
    <row r="54" spans="3:48" ht="19.5" customHeight="1">
      <c r="C54" s="132"/>
      <c r="D54" s="211" t="s">
        <v>48</v>
      </c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34"/>
      <c r="AA54" s="33"/>
    </row>
    <row r="55" spans="3:48" ht="19.5" customHeight="1">
      <c r="C55" s="41"/>
      <c r="D55" s="35" t="s">
        <v>62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211"/>
      <c r="W55" s="211"/>
      <c r="X55" s="211"/>
      <c r="Y55" s="211"/>
      <c r="Z55" s="34"/>
      <c r="AA55" s="33"/>
    </row>
    <row r="56" spans="3:48" ht="19.5" customHeight="1">
      <c r="C56" s="41"/>
      <c r="D56" s="211" t="s">
        <v>63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211"/>
      <c r="W56" s="211"/>
      <c r="X56" s="211"/>
      <c r="Y56" s="211"/>
      <c r="Z56" s="34"/>
      <c r="AA56" s="33"/>
    </row>
    <row r="57" spans="3:48" ht="19.5" customHeight="1">
      <c r="C57" s="41"/>
      <c r="D57" s="211" t="s">
        <v>64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211"/>
      <c r="W57" s="211"/>
      <c r="X57" s="211"/>
      <c r="Y57" s="211"/>
      <c r="Z57" s="34"/>
      <c r="AA57" s="33"/>
    </row>
    <row r="58" spans="3:48" ht="19.5" customHeight="1">
      <c r="C58" s="41"/>
      <c r="D58" s="211" t="s">
        <v>49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211"/>
      <c r="W58" s="211"/>
      <c r="X58" s="211"/>
      <c r="Y58" s="211"/>
      <c r="Z58" s="34"/>
      <c r="AA58" s="33"/>
    </row>
    <row r="59" spans="3:48" ht="19.5" customHeight="1">
      <c r="C59" s="41"/>
      <c r="D59" s="35" t="s">
        <v>65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211"/>
      <c r="W59" s="211"/>
      <c r="X59" s="211"/>
      <c r="Y59" s="211"/>
      <c r="Z59" s="34"/>
      <c r="AA59" s="33"/>
    </row>
    <row r="60" spans="3:48" ht="19.5" customHeight="1">
      <c r="C60" s="41"/>
      <c r="D60" s="211" t="s">
        <v>66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211"/>
      <c r="W60" s="211"/>
      <c r="X60" s="211"/>
      <c r="Y60" s="211"/>
      <c r="Z60" s="34"/>
      <c r="AA60" s="33"/>
    </row>
    <row r="61" spans="3:48" ht="19.5" customHeight="1">
      <c r="C61" s="41"/>
      <c r="D61" s="211" t="s">
        <v>67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211"/>
      <c r="W61" s="211"/>
      <c r="X61" s="211"/>
      <c r="Y61" s="211"/>
      <c r="Z61" s="34"/>
      <c r="AA61" s="33"/>
    </row>
    <row r="62" spans="3:48" ht="19.5" customHeight="1">
      <c r="C62" s="41"/>
      <c r="D62" s="211" t="s">
        <v>49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211"/>
      <c r="W62" s="211"/>
      <c r="X62" s="211"/>
      <c r="Y62" s="211"/>
      <c r="Z62" s="34"/>
      <c r="AA62" s="33"/>
    </row>
    <row r="63" spans="3:48" ht="11.25" customHeight="1" thickBot="1"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213"/>
      <c r="W63" s="213"/>
      <c r="X63" s="213"/>
      <c r="Y63" s="213"/>
      <c r="Z63" s="34"/>
      <c r="AA63" s="33"/>
    </row>
    <row r="64" spans="3:48" ht="19.5" customHeight="1">
      <c r="AB64" s="33"/>
      <c r="AC64" s="33"/>
      <c r="AD64" s="33"/>
    </row>
    <row r="65" ht="19.5" customHeight="1"/>
    <row r="66" ht="19.5" customHeight="1"/>
    <row r="67" ht="19.5" customHeight="1"/>
  </sheetData>
  <mergeCells count="55">
    <mergeCell ref="A1:AR1"/>
    <mergeCell ref="A2:AR2"/>
    <mergeCell ref="B4:D4"/>
    <mergeCell ref="B5:B9"/>
    <mergeCell ref="H4:P5"/>
    <mergeCell ref="H6:P6"/>
    <mergeCell ref="H7:M7"/>
    <mergeCell ref="N7:P7"/>
    <mergeCell ref="H8:L8"/>
    <mergeCell ref="M8:M9"/>
    <mergeCell ref="N8:N9"/>
    <mergeCell ref="P8:P9"/>
    <mergeCell ref="C5:C9"/>
    <mergeCell ref="D5:D9"/>
    <mergeCell ref="E5:E9"/>
    <mergeCell ref="O8:O9"/>
    <mergeCell ref="AH8:AH9"/>
    <mergeCell ref="Y4:AD6"/>
    <mergeCell ref="AE7:AH7"/>
    <mergeCell ref="V8:V9"/>
    <mergeCell ref="Q7:V7"/>
    <mergeCell ref="W7:X7"/>
    <mergeCell ref="AC8:AC9"/>
    <mergeCell ref="F4:G6"/>
    <mergeCell ref="G7:G9"/>
    <mergeCell ref="F7:F8"/>
    <mergeCell ref="AU7:AU9"/>
    <mergeCell ref="AK7:AP7"/>
    <mergeCell ref="AQ7:AR7"/>
    <mergeCell ref="AQ8:AQ9"/>
    <mergeCell ref="AR8:AR9"/>
    <mergeCell ref="AK8:AO8"/>
    <mergeCell ref="AP8:AP9"/>
    <mergeCell ref="AS7:AT8"/>
    <mergeCell ref="X8:X9"/>
    <mergeCell ref="Y8:AA8"/>
    <mergeCell ref="AB8:AB9"/>
    <mergeCell ref="Y7:AB7"/>
    <mergeCell ref="AC7:AD7"/>
    <mergeCell ref="A4:A9"/>
    <mergeCell ref="Q4:X5"/>
    <mergeCell ref="Q6:X6"/>
    <mergeCell ref="Q8:U8"/>
    <mergeCell ref="AS4:AV6"/>
    <mergeCell ref="AV7:AV9"/>
    <mergeCell ref="AK5:AR5"/>
    <mergeCell ref="AD8:AD9"/>
    <mergeCell ref="AE8:AG8"/>
    <mergeCell ref="AI7:AJ7"/>
    <mergeCell ref="AJ8:AJ9"/>
    <mergeCell ref="AI8:AI9"/>
    <mergeCell ref="AK6:AR6"/>
    <mergeCell ref="AE4:AJ6"/>
    <mergeCell ref="AK4:AR4"/>
    <mergeCell ref="W8:W9"/>
  </mergeCells>
  <printOptions horizontalCentered="1"/>
  <pageMargins left="0" right="0" top="0" bottom="0" header="0.98425196850393704" footer="0"/>
  <pageSetup paperSize="9" scale="67" orientation="landscape" r:id="rId1"/>
  <headerFooter alignWithMargins="0">
    <oddFooter>&amp;C&amp;8&amp;Z&amp;F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41"/>
  <sheetViews>
    <sheetView zoomScale="90" zoomScaleNormal="90" workbookViewId="0">
      <selection activeCell="AJ19" sqref="AJ19"/>
    </sheetView>
  </sheetViews>
  <sheetFormatPr defaultRowHeight="27.75" customHeight="1"/>
  <cols>
    <col min="1" max="1" width="9.5703125" style="10" customWidth="1"/>
    <col min="2" max="3" width="5.85546875" style="10" customWidth="1"/>
    <col min="4" max="4" width="5" style="10" customWidth="1"/>
    <col min="5" max="5" width="4.140625" style="10" customWidth="1"/>
    <col min="6" max="6" width="5.140625" style="10" customWidth="1"/>
    <col min="7" max="7" width="4.42578125" style="10" customWidth="1"/>
    <col min="8" max="8" width="7.140625" style="10" customWidth="1"/>
    <col min="9" max="11" width="5.140625" style="10" customWidth="1"/>
    <col min="12" max="13" width="4.5703125" style="10" customWidth="1"/>
    <col min="14" max="14" width="4.42578125" style="10" customWidth="1"/>
    <col min="15" max="15" width="5.7109375" style="10" customWidth="1"/>
    <col min="16" max="16" width="4.7109375" style="10" customWidth="1"/>
    <col min="17" max="17" width="5.85546875" style="10" customWidth="1"/>
    <col min="18" max="19" width="5.140625" style="10" customWidth="1"/>
    <col min="20" max="20" width="5.5703125" style="10" customWidth="1"/>
    <col min="21" max="21" width="5.7109375" style="10" customWidth="1"/>
    <col min="22" max="22" width="5.140625" style="10" customWidth="1"/>
    <col min="23" max="23" width="5.5703125" style="10" bestFit="1" customWidth="1"/>
    <col min="24" max="24" width="5.28515625" style="10" customWidth="1"/>
    <col min="25" max="28" width="3.85546875" style="10" customWidth="1"/>
    <col min="29" max="29" width="5.85546875" style="10" customWidth="1"/>
    <col min="30" max="30" width="6" style="10" customWidth="1"/>
    <col min="31" max="31" width="5.140625" style="10" customWidth="1"/>
    <col min="32" max="32" width="5.5703125" style="10" customWidth="1"/>
    <col min="33" max="33" width="4.7109375" style="10" customWidth="1"/>
    <col min="34" max="34" width="5.140625" style="10" customWidth="1"/>
    <col min="35" max="35" width="6.28515625" style="10" customWidth="1"/>
    <col min="36" max="36" width="6.140625" style="10" customWidth="1"/>
    <col min="37" max="38" width="4.85546875" style="10" customWidth="1"/>
    <col min="39" max="39" width="5.42578125" style="10" customWidth="1"/>
    <col min="40" max="40" width="8.42578125" style="10" customWidth="1"/>
    <col min="41" max="41" width="7.140625" style="10" customWidth="1"/>
    <col min="42" max="42" width="8.5703125" style="10" customWidth="1"/>
    <col min="43" max="43" width="8.85546875" style="10" customWidth="1"/>
    <col min="44" max="44" width="7.28515625" style="10" customWidth="1"/>
    <col min="45" max="45" width="8.85546875" style="10" customWidth="1"/>
    <col min="46" max="16384" width="9.140625" style="10"/>
  </cols>
  <sheetData>
    <row r="1" spans="1:48" ht="22.5" customHeight="1">
      <c r="A1" s="349" t="str">
        <f>'(PE-RE1)จชต. กลุ่ม1-4'!A1:AR1</f>
        <v>รายละเอียดแผนการปฏิบัติงานและความก้าวหน้าผลการปฏิบัติงาน ณ วันที่  31  มกราคม 2559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173"/>
      <c r="AO1" s="173"/>
      <c r="AP1" s="173"/>
      <c r="AQ1" s="173"/>
      <c r="AR1" s="173"/>
      <c r="AS1" s="173"/>
    </row>
    <row r="2" spans="1:48" ht="22.5" customHeight="1">
      <c r="A2" s="349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173"/>
      <c r="AO2" s="173"/>
      <c r="AP2" s="173"/>
      <c r="AQ2" s="173"/>
      <c r="AR2" s="173"/>
      <c r="AS2" s="173"/>
    </row>
    <row r="3" spans="1:48" s="11" customFormat="1" ht="33" customHeight="1">
      <c r="A3" s="217" t="s">
        <v>68</v>
      </c>
      <c r="B3" s="59"/>
      <c r="C3" s="59"/>
      <c r="D3" s="59"/>
      <c r="K3" s="60"/>
      <c r="Q3" s="60"/>
      <c r="X3" s="60"/>
      <c r="AF3" s="60"/>
    </row>
    <row r="4" spans="1:48" s="11" customFormat="1" ht="7.5" customHeight="1">
      <c r="A4" s="59"/>
      <c r="B4" s="59"/>
      <c r="C4" s="59"/>
      <c r="D4" s="59"/>
    </row>
    <row r="5" spans="1:48" s="11" customFormat="1" ht="30.75" customHeight="1">
      <c r="A5" s="283" t="s">
        <v>9</v>
      </c>
      <c r="B5" s="357" t="s">
        <v>21</v>
      </c>
      <c r="C5" s="358"/>
      <c r="D5" s="359"/>
      <c r="E5" s="356" t="s">
        <v>20</v>
      </c>
      <c r="F5" s="322"/>
      <c r="G5" s="322"/>
      <c r="H5" s="322"/>
      <c r="I5" s="322"/>
      <c r="J5" s="322"/>
      <c r="K5" s="323"/>
      <c r="L5" s="356" t="s">
        <v>24</v>
      </c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3"/>
      <c r="AG5" s="356" t="s">
        <v>42</v>
      </c>
      <c r="AH5" s="322"/>
      <c r="AI5" s="322"/>
      <c r="AJ5" s="322"/>
      <c r="AK5" s="322"/>
      <c r="AL5" s="322"/>
      <c r="AM5" s="323"/>
      <c r="AN5" s="360" t="s">
        <v>35</v>
      </c>
      <c r="AO5" s="361"/>
      <c r="AP5" s="361"/>
      <c r="AQ5" s="361"/>
      <c r="AR5" s="361"/>
      <c r="AS5" s="361"/>
      <c r="AT5" s="361"/>
      <c r="AU5" s="361"/>
      <c r="AV5" s="362"/>
    </row>
    <row r="6" spans="1:48" s="11" customFormat="1" ht="48" customHeight="1">
      <c r="A6" s="284"/>
      <c r="B6" s="354" t="s">
        <v>22</v>
      </c>
      <c r="C6" s="353" t="s">
        <v>23</v>
      </c>
      <c r="D6" s="353" t="s">
        <v>42</v>
      </c>
      <c r="E6" s="356" t="s">
        <v>71</v>
      </c>
      <c r="F6" s="322"/>
      <c r="G6" s="322"/>
      <c r="H6" s="322"/>
      <c r="I6" s="322"/>
      <c r="J6" s="322"/>
      <c r="K6" s="322"/>
      <c r="L6" s="356" t="s">
        <v>25</v>
      </c>
      <c r="M6" s="322"/>
      <c r="N6" s="322"/>
      <c r="O6" s="322"/>
      <c r="P6" s="322"/>
      <c r="Q6" s="322"/>
      <c r="R6" s="356" t="s">
        <v>50</v>
      </c>
      <c r="S6" s="322"/>
      <c r="T6" s="322"/>
      <c r="U6" s="322"/>
      <c r="V6" s="322"/>
      <c r="W6" s="322"/>
      <c r="X6" s="322"/>
      <c r="Y6" s="356" t="s">
        <v>26</v>
      </c>
      <c r="Z6" s="322"/>
      <c r="AA6" s="322"/>
      <c r="AB6" s="322"/>
      <c r="AC6" s="322"/>
      <c r="AD6" s="322"/>
      <c r="AE6" s="322"/>
      <c r="AF6" s="323"/>
      <c r="AG6" s="356" t="s">
        <v>44</v>
      </c>
      <c r="AH6" s="322"/>
      <c r="AI6" s="322"/>
      <c r="AJ6" s="322"/>
      <c r="AK6" s="322"/>
      <c r="AL6" s="322"/>
      <c r="AM6" s="323"/>
      <c r="AN6" s="371" t="s">
        <v>28</v>
      </c>
      <c r="AO6" s="371"/>
      <c r="AP6" s="371"/>
      <c r="AQ6" s="371" t="s">
        <v>24</v>
      </c>
      <c r="AR6" s="371"/>
      <c r="AS6" s="371"/>
      <c r="AT6" s="363" t="s">
        <v>42</v>
      </c>
      <c r="AU6" s="364"/>
      <c r="AV6" s="365"/>
    </row>
    <row r="7" spans="1:48" s="11" customFormat="1" ht="25.5" customHeight="1">
      <c r="A7" s="284"/>
      <c r="B7" s="354"/>
      <c r="C7" s="354"/>
      <c r="D7" s="354"/>
      <c r="E7" s="346" t="s">
        <v>3</v>
      </c>
      <c r="F7" s="337"/>
      <c r="G7" s="337"/>
      <c r="H7" s="338"/>
      <c r="I7" s="348" t="s">
        <v>13</v>
      </c>
      <c r="J7" s="312"/>
      <c r="K7" s="339"/>
      <c r="L7" s="346" t="s">
        <v>3</v>
      </c>
      <c r="M7" s="337"/>
      <c r="N7" s="337"/>
      <c r="O7" s="338"/>
      <c r="P7" s="348" t="s">
        <v>13</v>
      </c>
      <c r="Q7" s="339"/>
      <c r="R7" s="346" t="s">
        <v>3</v>
      </c>
      <c r="S7" s="337"/>
      <c r="T7" s="337"/>
      <c r="U7" s="338"/>
      <c r="V7" s="348" t="s">
        <v>13</v>
      </c>
      <c r="W7" s="312"/>
      <c r="X7" s="339"/>
      <c r="Y7" s="346" t="s">
        <v>3</v>
      </c>
      <c r="Z7" s="337"/>
      <c r="AA7" s="337"/>
      <c r="AB7" s="337"/>
      <c r="AC7" s="337"/>
      <c r="AD7" s="338"/>
      <c r="AE7" s="348" t="s">
        <v>13</v>
      </c>
      <c r="AF7" s="339"/>
      <c r="AG7" s="346" t="s">
        <v>3</v>
      </c>
      <c r="AH7" s="337"/>
      <c r="AI7" s="337"/>
      <c r="AJ7" s="338"/>
      <c r="AK7" s="348" t="s">
        <v>13</v>
      </c>
      <c r="AL7" s="312"/>
      <c r="AM7" s="339"/>
      <c r="AN7" s="360" t="s">
        <v>29</v>
      </c>
      <c r="AO7" s="362"/>
      <c r="AP7" s="366" t="s">
        <v>39</v>
      </c>
      <c r="AQ7" s="360" t="s">
        <v>29</v>
      </c>
      <c r="AR7" s="362"/>
      <c r="AS7" s="366" t="s">
        <v>39</v>
      </c>
      <c r="AT7" s="360" t="s">
        <v>29</v>
      </c>
      <c r="AU7" s="362"/>
      <c r="AV7" s="366" t="s">
        <v>39</v>
      </c>
    </row>
    <row r="8" spans="1:48" s="11" customFormat="1" ht="20.25" customHeight="1">
      <c r="A8" s="284"/>
      <c r="B8" s="354"/>
      <c r="C8" s="354"/>
      <c r="D8" s="354"/>
      <c r="E8" s="295" t="s">
        <v>1</v>
      </c>
      <c r="F8" s="296"/>
      <c r="G8" s="297"/>
      <c r="H8" s="340" t="s">
        <v>16</v>
      </c>
      <c r="I8" s="324" t="s">
        <v>10</v>
      </c>
      <c r="J8" s="314" t="s">
        <v>14</v>
      </c>
      <c r="K8" s="324" t="s">
        <v>15</v>
      </c>
      <c r="L8" s="295" t="s">
        <v>1</v>
      </c>
      <c r="M8" s="296"/>
      <c r="N8" s="297"/>
      <c r="O8" s="340" t="s">
        <v>16</v>
      </c>
      <c r="P8" s="324" t="s">
        <v>10</v>
      </c>
      <c r="Q8" s="324" t="s">
        <v>15</v>
      </c>
      <c r="R8" s="295" t="s">
        <v>1</v>
      </c>
      <c r="S8" s="296"/>
      <c r="T8" s="297"/>
      <c r="U8" s="340" t="s">
        <v>16</v>
      </c>
      <c r="V8" s="324" t="s">
        <v>10</v>
      </c>
      <c r="W8" s="314" t="s">
        <v>14</v>
      </c>
      <c r="X8" s="324" t="s">
        <v>15</v>
      </c>
      <c r="Y8" s="295" t="s">
        <v>1</v>
      </c>
      <c r="Z8" s="296"/>
      <c r="AA8" s="296"/>
      <c r="AB8" s="296"/>
      <c r="AC8" s="297"/>
      <c r="AD8" s="340" t="s">
        <v>16</v>
      </c>
      <c r="AE8" s="324" t="s">
        <v>17</v>
      </c>
      <c r="AF8" s="324" t="s">
        <v>15</v>
      </c>
      <c r="AG8" s="295" t="s">
        <v>1</v>
      </c>
      <c r="AH8" s="296"/>
      <c r="AI8" s="297"/>
      <c r="AJ8" s="340" t="s">
        <v>16</v>
      </c>
      <c r="AK8" s="324" t="s">
        <v>10</v>
      </c>
      <c r="AL8" s="324" t="s">
        <v>14</v>
      </c>
      <c r="AM8" s="324" t="s">
        <v>15</v>
      </c>
      <c r="AN8" s="369" t="s">
        <v>31</v>
      </c>
      <c r="AO8" s="372" t="s">
        <v>11</v>
      </c>
      <c r="AP8" s="367"/>
      <c r="AQ8" s="369" t="s">
        <v>31</v>
      </c>
      <c r="AR8" s="372" t="s">
        <v>11</v>
      </c>
      <c r="AS8" s="367"/>
      <c r="AT8" s="369" t="s">
        <v>31</v>
      </c>
      <c r="AU8" s="372" t="s">
        <v>11</v>
      </c>
      <c r="AV8" s="367"/>
    </row>
    <row r="9" spans="1:48" s="11" customFormat="1" ht="33" customHeight="1">
      <c r="A9" s="285"/>
      <c r="B9" s="355"/>
      <c r="C9" s="355"/>
      <c r="D9" s="355"/>
      <c r="E9" s="115">
        <v>1</v>
      </c>
      <c r="F9" s="115">
        <v>2</v>
      </c>
      <c r="G9" s="116" t="s">
        <v>2</v>
      </c>
      <c r="H9" s="341"/>
      <c r="I9" s="315"/>
      <c r="J9" s="315"/>
      <c r="K9" s="315"/>
      <c r="L9" s="115">
        <v>1</v>
      </c>
      <c r="M9" s="115">
        <v>2</v>
      </c>
      <c r="N9" s="116" t="s">
        <v>2</v>
      </c>
      <c r="O9" s="341"/>
      <c r="P9" s="315"/>
      <c r="Q9" s="315"/>
      <c r="R9" s="115">
        <v>1</v>
      </c>
      <c r="S9" s="115">
        <v>2</v>
      </c>
      <c r="T9" s="115" t="s">
        <v>2</v>
      </c>
      <c r="U9" s="341"/>
      <c r="V9" s="315"/>
      <c r="W9" s="315"/>
      <c r="X9" s="315"/>
      <c r="Y9" s="115">
        <v>1</v>
      </c>
      <c r="Z9" s="115">
        <v>2</v>
      </c>
      <c r="AA9" s="115">
        <v>3</v>
      </c>
      <c r="AB9" s="115">
        <v>4</v>
      </c>
      <c r="AC9" s="115" t="s">
        <v>2</v>
      </c>
      <c r="AD9" s="341"/>
      <c r="AE9" s="315"/>
      <c r="AF9" s="315"/>
      <c r="AG9" s="115">
        <v>1</v>
      </c>
      <c r="AH9" s="115">
        <v>2</v>
      </c>
      <c r="AI9" s="117" t="s">
        <v>2</v>
      </c>
      <c r="AJ9" s="341"/>
      <c r="AK9" s="315"/>
      <c r="AL9" s="315"/>
      <c r="AM9" s="315"/>
      <c r="AN9" s="370"/>
      <c r="AO9" s="371"/>
      <c r="AP9" s="368"/>
      <c r="AQ9" s="370"/>
      <c r="AR9" s="371"/>
      <c r="AS9" s="368"/>
      <c r="AT9" s="370"/>
      <c r="AU9" s="371"/>
      <c r="AV9" s="368"/>
    </row>
    <row r="10" spans="1:48" s="18" customFormat="1" ht="23.25" customHeight="1">
      <c r="A10" s="134" t="s">
        <v>5</v>
      </c>
      <c r="B10" s="135">
        <v>0</v>
      </c>
      <c r="C10" s="135">
        <v>8</v>
      </c>
      <c r="D10" s="135">
        <v>8</v>
      </c>
      <c r="E10" s="156"/>
      <c r="F10" s="156"/>
      <c r="G10" s="156"/>
      <c r="H10" s="157"/>
      <c r="I10" s="158"/>
      <c r="J10" s="158"/>
      <c r="K10" s="159"/>
      <c r="L10" s="136">
        <f>0+6+2</f>
        <v>8</v>
      </c>
      <c r="M10" s="136"/>
      <c r="N10" s="136">
        <f>SUM(L10:M10)</f>
        <v>8</v>
      </c>
      <c r="O10" s="137">
        <f>L10</f>
        <v>8</v>
      </c>
      <c r="P10" s="263">
        <v>8</v>
      </c>
      <c r="Q10" s="262">
        <f>P10*100/O10</f>
        <v>100</v>
      </c>
      <c r="R10" s="136">
        <f>0+0+32</f>
        <v>32</v>
      </c>
      <c r="S10" s="136"/>
      <c r="T10" s="136">
        <f>SUM(R10:S10)</f>
        <v>32</v>
      </c>
      <c r="U10" s="137">
        <f>R10</f>
        <v>32</v>
      </c>
      <c r="V10" s="262">
        <v>6</v>
      </c>
      <c r="W10" s="272">
        <v>26</v>
      </c>
      <c r="X10" s="262">
        <f>W10*100/U10</f>
        <v>81.25</v>
      </c>
      <c r="Y10" s="136">
        <f>0+2+6</f>
        <v>8</v>
      </c>
      <c r="Z10" s="136">
        <f>0+2+6</f>
        <v>8</v>
      </c>
      <c r="AA10" s="136">
        <f>0+2+6</f>
        <v>8</v>
      </c>
      <c r="AB10" s="136">
        <f>0+4+4</f>
        <v>8</v>
      </c>
      <c r="AC10" s="136">
        <f>SUM(Y10:AB10)</f>
        <v>32</v>
      </c>
      <c r="AD10" s="138">
        <f>Y10</f>
        <v>8</v>
      </c>
      <c r="AE10" s="263">
        <v>8</v>
      </c>
      <c r="AF10" s="262">
        <f>AE10*100/AD10</f>
        <v>100</v>
      </c>
      <c r="AG10" s="136">
        <f>0+0+8</f>
        <v>8</v>
      </c>
      <c r="AH10" s="136"/>
      <c r="AI10" s="136">
        <f>SUM(AG10:AH10)</f>
        <v>8</v>
      </c>
      <c r="AJ10" s="143">
        <f>AG10</f>
        <v>8</v>
      </c>
      <c r="AK10" s="262">
        <v>7</v>
      </c>
      <c r="AL10" s="263">
        <v>8</v>
      </c>
      <c r="AM10" s="262">
        <f>AL10*100/AJ10</f>
        <v>100</v>
      </c>
      <c r="AN10" s="274"/>
      <c r="AO10" s="275"/>
      <c r="AP10" s="276"/>
      <c r="AQ10" s="186">
        <v>21732</v>
      </c>
      <c r="AR10" s="245">
        <v>32</v>
      </c>
      <c r="AS10" s="139"/>
      <c r="AT10" s="186">
        <v>21732</v>
      </c>
      <c r="AU10" s="245">
        <v>8</v>
      </c>
      <c r="AV10" s="139"/>
    </row>
    <row r="11" spans="1:48" s="11" customFormat="1" ht="23.25" customHeight="1">
      <c r="A11" s="140" t="s">
        <v>6</v>
      </c>
      <c r="B11" s="141">
        <v>5</v>
      </c>
      <c r="C11" s="141">
        <v>4</v>
      </c>
      <c r="D11" s="141">
        <f>B11+C11</f>
        <v>9</v>
      </c>
      <c r="E11" s="142"/>
      <c r="F11" s="142">
        <f>20+0+0</f>
        <v>20</v>
      </c>
      <c r="G11" s="142">
        <f>SUM(E11:F11)</f>
        <v>20</v>
      </c>
      <c r="H11" s="143">
        <v>20</v>
      </c>
      <c r="I11" s="144">
        <v>5</v>
      </c>
      <c r="J11" s="144">
        <v>20</v>
      </c>
      <c r="K11" s="145">
        <f>J11*100/H11</f>
        <v>100</v>
      </c>
      <c r="L11" s="142">
        <f>0+1+3</f>
        <v>4</v>
      </c>
      <c r="M11" s="142"/>
      <c r="N11" s="142">
        <f>L11</f>
        <v>4</v>
      </c>
      <c r="O11" s="143">
        <f>L11</f>
        <v>4</v>
      </c>
      <c r="P11" s="265">
        <v>4</v>
      </c>
      <c r="Q11" s="264">
        <f>P11*100/O11</f>
        <v>100</v>
      </c>
      <c r="R11" s="142">
        <f>0+0+16</f>
        <v>16</v>
      </c>
      <c r="S11" s="142"/>
      <c r="T11" s="142">
        <f>SUM(R11:S11)</f>
        <v>16</v>
      </c>
      <c r="U11" s="143">
        <f>R11</f>
        <v>16</v>
      </c>
      <c r="V11" s="264">
        <v>4</v>
      </c>
      <c r="W11" s="273">
        <v>15</v>
      </c>
      <c r="X11" s="264">
        <f>W11*100/U11</f>
        <v>93.75</v>
      </c>
      <c r="Y11" s="142">
        <f>0+1+3</f>
        <v>4</v>
      </c>
      <c r="Z11" s="142">
        <f>1+1+2</f>
        <v>4</v>
      </c>
      <c r="AA11" s="142">
        <f>1+1+2</f>
        <v>4</v>
      </c>
      <c r="AB11" s="142">
        <f>0+4+0</f>
        <v>4</v>
      </c>
      <c r="AC11" s="142">
        <f>SUM(Y11:AB11)</f>
        <v>16</v>
      </c>
      <c r="AD11" s="146">
        <f>Y11</f>
        <v>4</v>
      </c>
      <c r="AE11" s="279">
        <v>5</v>
      </c>
      <c r="AF11" s="264">
        <f>AE11*100/AD11</f>
        <v>125</v>
      </c>
      <c r="AG11" s="142">
        <f>0+0+9</f>
        <v>9</v>
      </c>
      <c r="AH11" s="142"/>
      <c r="AI11" s="142">
        <f>SUM(AG11:AH11)</f>
        <v>9</v>
      </c>
      <c r="AJ11" s="143">
        <f>AG11</f>
        <v>9</v>
      </c>
      <c r="AK11" s="264">
        <v>8</v>
      </c>
      <c r="AL11" s="265">
        <v>8</v>
      </c>
      <c r="AM11" s="264">
        <f>AL11*100/AJ11</f>
        <v>88.888888888888886</v>
      </c>
      <c r="AN11" s="187">
        <v>21732</v>
      </c>
      <c r="AO11" s="142">
        <v>20</v>
      </c>
      <c r="AP11" s="147"/>
      <c r="AQ11" s="187">
        <v>21732</v>
      </c>
      <c r="AR11" s="246">
        <v>16</v>
      </c>
      <c r="AS11" s="148"/>
      <c r="AT11" s="187">
        <v>21732</v>
      </c>
      <c r="AU11" s="246">
        <v>9</v>
      </c>
      <c r="AV11" s="148"/>
    </row>
    <row r="12" spans="1:48" s="11" customFormat="1" ht="23.25" customHeight="1">
      <c r="A12" s="140" t="s">
        <v>7</v>
      </c>
      <c r="B12" s="141">
        <v>1</v>
      </c>
      <c r="C12" s="141">
        <v>16</v>
      </c>
      <c r="D12" s="141">
        <f>B12+C12</f>
        <v>17</v>
      </c>
      <c r="E12" s="142"/>
      <c r="F12" s="142">
        <f>4+0+0</f>
        <v>4</v>
      </c>
      <c r="G12" s="142">
        <f>SUM(E12:F12)</f>
        <v>4</v>
      </c>
      <c r="H12" s="143">
        <v>4</v>
      </c>
      <c r="I12" s="142"/>
      <c r="J12" s="142"/>
      <c r="K12" s="142"/>
      <c r="L12" s="142">
        <f>2+7+7</f>
        <v>16</v>
      </c>
      <c r="M12" s="142"/>
      <c r="N12" s="142">
        <f t="shared" ref="N12:N13" si="0">L12</f>
        <v>16</v>
      </c>
      <c r="O12" s="143">
        <f>L12</f>
        <v>16</v>
      </c>
      <c r="P12" s="265">
        <v>16</v>
      </c>
      <c r="Q12" s="264">
        <f>P12*100/O12</f>
        <v>100</v>
      </c>
      <c r="R12" s="142">
        <f>0+0+64</f>
        <v>64</v>
      </c>
      <c r="S12" s="142"/>
      <c r="T12" s="142">
        <f>SUM(R12:S12)</f>
        <v>64</v>
      </c>
      <c r="U12" s="143">
        <f>R12</f>
        <v>64</v>
      </c>
      <c r="V12" s="264">
        <v>16</v>
      </c>
      <c r="W12" s="273">
        <v>47</v>
      </c>
      <c r="X12" s="264">
        <f>W12*100/U12</f>
        <v>73.4375</v>
      </c>
      <c r="Y12" s="142">
        <f>0+8+8</f>
        <v>16</v>
      </c>
      <c r="Z12" s="142">
        <f>3+5+8</f>
        <v>16</v>
      </c>
      <c r="AA12" s="142">
        <f>1+2+13</f>
        <v>16</v>
      </c>
      <c r="AB12" s="142">
        <f>1+9+6</f>
        <v>16</v>
      </c>
      <c r="AC12" s="142">
        <f t="shared" ref="AC12:AC13" si="1">SUM(Y12:AB12)</f>
        <v>64</v>
      </c>
      <c r="AD12" s="146">
        <f t="shared" ref="AD12:AD13" si="2">Y12</f>
        <v>16</v>
      </c>
      <c r="AE12" s="279">
        <v>18</v>
      </c>
      <c r="AF12" s="264">
        <f>AE12*100/AD12</f>
        <v>112.5</v>
      </c>
      <c r="AG12" s="142">
        <f>0+0+17</f>
        <v>17</v>
      </c>
      <c r="AH12" s="142"/>
      <c r="AI12" s="142">
        <f>SUM(AG12:AH12)</f>
        <v>17</v>
      </c>
      <c r="AJ12" s="143">
        <f t="shared" ref="AJ12:AJ13" si="3">AG12</f>
        <v>17</v>
      </c>
      <c r="AK12" s="266">
        <v>14</v>
      </c>
      <c r="AL12" s="267">
        <v>14</v>
      </c>
      <c r="AM12" s="264">
        <f t="shared" ref="AM12:AM13" si="4">AL12*100/AJ12</f>
        <v>82.352941176470594</v>
      </c>
      <c r="AN12" s="187">
        <v>21732</v>
      </c>
      <c r="AO12" s="142">
        <v>4</v>
      </c>
      <c r="AP12" s="147"/>
      <c r="AQ12" s="187">
        <v>21732</v>
      </c>
      <c r="AR12" s="246">
        <v>64</v>
      </c>
      <c r="AS12" s="148"/>
      <c r="AT12" s="187">
        <v>21732</v>
      </c>
      <c r="AU12" s="246">
        <v>17</v>
      </c>
      <c r="AV12" s="148"/>
    </row>
    <row r="13" spans="1:48" s="11" customFormat="1" ht="23.25" customHeight="1">
      <c r="A13" s="149" t="s">
        <v>8</v>
      </c>
      <c r="B13" s="150">
        <v>5</v>
      </c>
      <c r="C13" s="150">
        <v>11</v>
      </c>
      <c r="D13" s="150">
        <f>B13+C13</f>
        <v>16</v>
      </c>
      <c r="E13" s="151"/>
      <c r="F13" s="151">
        <f>20+0+0</f>
        <v>20</v>
      </c>
      <c r="G13" s="151">
        <f>SUM(E13:F13)</f>
        <v>20</v>
      </c>
      <c r="H13" s="152">
        <v>20</v>
      </c>
      <c r="I13" s="153">
        <v>4</v>
      </c>
      <c r="J13" s="153">
        <v>11</v>
      </c>
      <c r="K13" s="151">
        <f>J13*100/H13</f>
        <v>55</v>
      </c>
      <c r="L13" s="151">
        <f>0+3+8</f>
        <v>11</v>
      </c>
      <c r="M13" s="151"/>
      <c r="N13" s="151">
        <f t="shared" si="0"/>
        <v>11</v>
      </c>
      <c r="O13" s="152">
        <f>L13</f>
        <v>11</v>
      </c>
      <c r="P13" s="271">
        <v>1</v>
      </c>
      <c r="Q13" s="270">
        <f t="shared" ref="Q13" si="5">P13*100/O13</f>
        <v>9.0909090909090917</v>
      </c>
      <c r="R13" s="151">
        <f>0+0+44</f>
        <v>44</v>
      </c>
      <c r="S13" s="151"/>
      <c r="T13" s="151">
        <f>SUM(R13:S13)</f>
        <v>44</v>
      </c>
      <c r="U13" s="152">
        <f>R13</f>
        <v>44</v>
      </c>
      <c r="V13" s="268">
        <v>1</v>
      </c>
      <c r="W13" s="271">
        <v>37</v>
      </c>
      <c r="X13" s="270">
        <v>43</v>
      </c>
      <c r="Y13" s="151">
        <f>0+3+8</f>
        <v>11</v>
      </c>
      <c r="Z13" s="151">
        <f>4+1+6</f>
        <v>11</v>
      </c>
      <c r="AA13" s="151">
        <f>4+2+5</f>
        <v>11</v>
      </c>
      <c r="AB13" s="151">
        <f>4+2+5</f>
        <v>11</v>
      </c>
      <c r="AC13" s="151">
        <f t="shared" si="1"/>
        <v>44</v>
      </c>
      <c r="AD13" s="152">
        <f t="shared" si="2"/>
        <v>11</v>
      </c>
      <c r="AE13" s="271">
        <v>1</v>
      </c>
      <c r="AF13" s="270">
        <f t="shared" ref="AF13" si="6">AE13*100/AD13</f>
        <v>9.0909090909090917</v>
      </c>
      <c r="AG13" s="151">
        <f>0+0+16</f>
        <v>16</v>
      </c>
      <c r="AH13" s="151"/>
      <c r="AI13" s="151">
        <f>SUM(AG13:AH13)</f>
        <v>16</v>
      </c>
      <c r="AJ13" s="152">
        <f t="shared" si="3"/>
        <v>16</v>
      </c>
      <c r="AK13" s="268">
        <v>13</v>
      </c>
      <c r="AL13" s="269">
        <v>13</v>
      </c>
      <c r="AM13" s="270">
        <f t="shared" si="4"/>
        <v>81.25</v>
      </c>
      <c r="AN13" s="188">
        <v>21732</v>
      </c>
      <c r="AO13" s="151">
        <v>20</v>
      </c>
      <c r="AP13" s="154"/>
      <c r="AQ13" s="188">
        <v>21732</v>
      </c>
      <c r="AR13" s="247">
        <v>44</v>
      </c>
      <c r="AS13" s="155"/>
      <c r="AT13" s="188">
        <v>21732</v>
      </c>
      <c r="AU13" s="247">
        <v>16</v>
      </c>
      <c r="AV13" s="155"/>
    </row>
    <row r="14" spans="1:48" ht="23.25" customHeight="1">
      <c r="A14" s="19" t="s">
        <v>4</v>
      </c>
      <c r="B14" s="15">
        <f>SUM(B10:B13)</f>
        <v>11</v>
      </c>
      <c r="C14" s="15">
        <f>SUM(C10:C13)</f>
        <v>39</v>
      </c>
      <c r="D14" s="15">
        <f>SUM(D10:D13)</f>
        <v>50</v>
      </c>
      <c r="E14" s="15">
        <f t="shared" ref="E14:G14" si="7">SUM(E10:E13)</f>
        <v>0</v>
      </c>
      <c r="F14" s="15">
        <f t="shared" si="7"/>
        <v>44</v>
      </c>
      <c r="G14" s="15">
        <f t="shared" si="7"/>
        <v>44</v>
      </c>
      <c r="H14" s="16">
        <f>SUM(H10:H13)</f>
        <v>44</v>
      </c>
      <c r="I14" s="17">
        <f>SUM(I10:I13)</f>
        <v>9</v>
      </c>
      <c r="J14" s="17">
        <f>SUM(J10:J13)</f>
        <v>31</v>
      </c>
      <c r="K14" s="17">
        <f>J14*100/H14</f>
        <v>70.454545454545453</v>
      </c>
      <c r="L14" s="15">
        <f t="shared" ref="L14" si="8">SUM(L10:L13)</f>
        <v>39</v>
      </c>
      <c r="M14" s="15">
        <f t="shared" ref="M14" si="9">SUM(M10:M13)</f>
        <v>0</v>
      </c>
      <c r="N14" s="15">
        <f t="shared" ref="N14" si="10">SUM(N10:N13)</f>
        <v>39</v>
      </c>
      <c r="O14" s="16">
        <f>SUM(O10:O13)</f>
        <v>39</v>
      </c>
      <c r="P14" s="17">
        <f>SUM(P10:P13)</f>
        <v>29</v>
      </c>
      <c r="Q14" s="17">
        <f>P14*100/O14</f>
        <v>74.358974358974365</v>
      </c>
      <c r="R14" s="15">
        <f t="shared" ref="R14" si="11">SUM(R10:R13)</f>
        <v>156</v>
      </c>
      <c r="S14" s="15">
        <f t="shared" ref="S14" si="12">SUM(S10:S13)</f>
        <v>0</v>
      </c>
      <c r="T14" s="15">
        <f t="shared" ref="T14" si="13">SUM(T10:T13)</f>
        <v>156</v>
      </c>
      <c r="U14" s="16">
        <f>SUM(U10:U13)</f>
        <v>156</v>
      </c>
      <c r="V14" s="166">
        <f>SUM(V10:V13)</f>
        <v>27</v>
      </c>
      <c r="W14" s="17">
        <f>SUM(W10:W13)</f>
        <v>125</v>
      </c>
      <c r="X14" s="166">
        <f>W14*100/U14</f>
        <v>80.128205128205124</v>
      </c>
      <c r="Y14" s="15">
        <f t="shared" ref="Y14" si="14">SUM(Y10:Y13)</f>
        <v>39</v>
      </c>
      <c r="Z14" s="15">
        <f t="shared" ref="Z14" si="15">SUM(Z10:Z13)</f>
        <v>39</v>
      </c>
      <c r="AA14" s="15">
        <f t="shared" ref="AA14" si="16">SUM(AA10:AA13)</f>
        <v>39</v>
      </c>
      <c r="AB14" s="15">
        <f t="shared" ref="AB14" si="17">SUM(AB10:AB13)</f>
        <v>39</v>
      </c>
      <c r="AC14" s="15">
        <f t="shared" ref="AC14" si="18">SUM(AC10:AC13)</f>
        <v>156</v>
      </c>
      <c r="AD14" s="16">
        <f>SUM(AD10:AD13)</f>
        <v>39</v>
      </c>
      <c r="AE14" s="17">
        <f>SUM(AE10:AE13)</f>
        <v>32</v>
      </c>
      <c r="AF14" s="17">
        <f>AE14*100/AD14</f>
        <v>82.051282051282058</v>
      </c>
      <c r="AG14" s="15">
        <f t="shared" ref="AG14:AI14" si="19">SUM(AG10:AG13)</f>
        <v>50</v>
      </c>
      <c r="AH14" s="15">
        <f t="shared" si="19"/>
        <v>0</v>
      </c>
      <c r="AI14" s="15">
        <f t="shared" si="19"/>
        <v>50</v>
      </c>
      <c r="AJ14" s="16">
        <f>SUM(AJ10:AJ13)</f>
        <v>50</v>
      </c>
      <c r="AK14" s="17">
        <f>SUM(AK10:AK13)</f>
        <v>42</v>
      </c>
      <c r="AL14" s="17">
        <f>SUM(AL10:AL13)</f>
        <v>43</v>
      </c>
      <c r="AM14" s="17">
        <f>AL14*100/AJ14</f>
        <v>86</v>
      </c>
      <c r="AN14" s="133"/>
      <c r="AO14" s="15">
        <f>SUM(AO10:AO13)</f>
        <v>44</v>
      </c>
      <c r="AP14" s="19">
        <f>SUM(AP10:AP13)</f>
        <v>0</v>
      </c>
      <c r="AQ14" s="133"/>
      <c r="AR14" s="15">
        <f>SUM(AR10:AR13)</f>
        <v>156</v>
      </c>
      <c r="AS14" s="19">
        <f>SUM(AS10:AS13)</f>
        <v>0</v>
      </c>
      <c r="AT14" s="133"/>
      <c r="AU14" s="15">
        <f>SUM(AU10:AU13)</f>
        <v>50</v>
      </c>
      <c r="AV14" s="19">
        <f>SUM(AV10:AV13)</f>
        <v>0</v>
      </c>
    </row>
    <row r="15" spans="1:48" ht="14.25" customHeight="1">
      <c r="A15" s="59"/>
      <c r="B15" s="59"/>
      <c r="C15" s="59"/>
      <c r="D15" s="59"/>
    </row>
    <row r="16" spans="1:48" ht="14.25" customHeight="1">
      <c r="A16" s="59"/>
      <c r="B16" s="59"/>
      <c r="C16" s="59"/>
      <c r="D16" s="59"/>
    </row>
    <row r="17" spans="1:41" ht="14.25" customHeight="1">
      <c r="A17" s="59"/>
      <c r="B17" s="59"/>
      <c r="C17" s="59"/>
      <c r="D17" s="59"/>
      <c r="E17" s="239" t="s">
        <v>83</v>
      </c>
      <c r="R17" s="239" t="s">
        <v>84</v>
      </c>
    </row>
    <row r="18" spans="1:41" ht="21.75" customHeight="1" thickBot="1">
      <c r="A18" s="76"/>
      <c r="B18" s="59"/>
      <c r="C18" s="59"/>
      <c r="D18" s="59"/>
    </row>
    <row r="19" spans="1:41" ht="19.5" customHeight="1">
      <c r="B19" s="206" t="s">
        <v>32</v>
      </c>
      <c r="C19" s="207"/>
      <c r="D19" s="208"/>
      <c r="E19" s="208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55"/>
      <c r="AO19" s="28"/>
    </row>
    <row r="20" spans="1:41" ht="19.5" customHeight="1">
      <c r="B20" s="132" t="s">
        <v>18</v>
      </c>
      <c r="C20" s="210" t="s">
        <v>69</v>
      </c>
      <c r="D20" s="35"/>
      <c r="E20" s="35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56"/>
      <c r="Y20" s="349"/>
      <c r="Z20" s="349"/>
      <c r="AA20" s="373" t="s">
        <v>8</v>
      </c>
      <c r="AB20" s="373"/>
      <c r="AC20" s="10" t="s">
        <v>88</v>
      </c>
    </row>
    <row r="21" spans="1:41" ht="19.5" customHeight="1">
      <c r="B21" s="41"/>
      <c r="C21" s="211" t="s">
        <v>70</v>
      </c>
      <c r="D21" s="35"/>
      <c r="E21" s="35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56"/>
      <c r="Y21" s="173"/>
      <c r="Z21" s="174"/>
      <c r="AB21" s="11"/>
      <c r="AC21" s="10" t="s">
        <v>85</v>
      </c>
    </row>
    <row r="22" spans="1:41" ht="19.5" customHeight="1">
      <c r="B22" s="212"/>
      <c r="C22" s="210" t="s">
        <v>72</v>
      </c>
      <c r="D22" s="35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57"/>
      <c r="Y22" s="60"/>
      <c r="Z22" s="175"/>
      <c r="AA22" s="176"/>
      <c r="AB22" s="9"/>
    </row>
    <row r="23" spans="1:41" ht="19.5" customHeight="1">
      <c r="B23" s="212"/>
      <c r="C23" s="211" t="s">
        <v>73</v>
      </c>
      <c r="D23" s="35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58"/>
    </row>
    <row r="24" spans="1:41" ht="19.5" customHeight="1">
      <c r="B24" s="132" t="s">
        <v>9</v>
      </c>
      <c r="C24" s="211" t="s">
        <v>46</v>
      </c>
      <c r="D24" s="35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58"/>
    </row>
    <row r="25" spans="1:41" ht="15" customHeight="1">
      <c r="B25" s="132" t="s">
        <v>9</v>
      </c>
      <c r="C25" s="211" t="s">
        <v>47</v>
      </c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58"/>
    </row>
    <row r="26" spans="1:41" ht="19.5" customHeight="1">
      <c r="B26" s="41"/>
      <c r="C26" s="35" t="s">
        <v>74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11"/>
      <c r="P26" s="211"/>
      <c r="Q26" s="211"/>
      <c r="R26" s="211"/>
      <c r="S26" s="211"/>
      <c r="T26" s="211"/>
      <c r="U26" s="211"/>
      <c r="V26" s="211"/>
      <c r="W26" s="211"/>
      <c r="X26" s="258"/>
    </row>
    <row r="27" spans="1:41" ht="19.5" customHeight="1">
      <c r="B27" s="41"/>
      <c r="C27" s="211" t="s">
        <v>75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11"/>
      <c r="P27" s="211"/>
      <c r="Q27" s="211"/>
      <c r="R27" s="211"/>
      <c r="S27" s="211"/>
      <c r="T27" s="211"/>
      <c r="U27" s="211"/>
      <c r="V27" s="211"/>
      <c r="W27" s="211"/>
      <c r="X27" s="258"/>
    </row>
    <row r="28" spans="1:41" ht="19.5" customHeight="1" thickBo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213"/>
      <c r="P28" s="213"/>
      <c r="Q28" s="213"/>
      <c r="R28" s="213"/>
      <c r="S28" s="213"/>
      <c r="T28" s="213"/>
      <c r="U28" s="213"/>
      <c r="V28" s="213"/>
      <c r="W28" s="213"/>
      <c r="X28" s="259"/>
    </row>
    <row r="29" spans="1:41" ht="27.75" customHeight="1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11"/>
      <c r="N29" s="11"/>
    </row>
    <row r="30" spans="1:41" ht="27.75" customHeigh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11"/>
      <c r="N30" s="11"/>
    </row>
    <row r="36" spans="2:7" ht="27.75" customHeight="1">
      <c r="D36" s="10" t="s">
        <v>86</v>
      </c>
      <c r="F36" s="10" t="s">
        <v>87</v>
      </c>
    </row>
    <row r="37" spans="2:7" ht="27.75" customHeight="1">
      <c r="B37" s="10" t="s">
        <v>5</v>
      </c>
      <c r="D37" s="10">
        <v>24</v>
      </c>
      <c r="F37" s="10">
        <v>5</v>
      </c>
    </row>
    <row r="38" spans="2:7" ht="27.75" customHeight="1">
      <c r="B38" s="10" t="s">
        <v>6</v>
      </c>
      <c r="D38" s="10">
        <v>10</v>
      </c>
      <c r="F38" s="10">
        <v>4</v>
      </c>
    </row>
    <row r="39" spans="2:7" ht="27.75" customHeight="1">
      <c r="B39" s="10" t="s">
        <v>7</v>
      </c>
      <c r="D39" s="10">
        <v>36</v>
      </c>
      <c r="F39" s="10">
        <v>16</v>
      </c>
    </row>
    <row r="40" spans="2:7" ht="27.75" customHeight="1">
      <c r="B40" s="10" t="s">
        <v>8</v>
      </c>
      <c r="D40" s="10">
        <v>32</v>
      </c>
      <c r="F40" s="10">
        <v>11</v>
      </c>
    </row>
    <row r="41" spans="2:7" ht="27.75" customHeight="1">
      <c r="D41" s="10">
        <f>SUM(D37:D40)</f>
        <v>102</v>
      </c>
      <c r="F41" s="10">
        <f>SUM(F37:F40)</f>
        <v>36</v>
      </c>
      <c r="G41" s="10">
        <f>D41+F41</f>
        <v>138</v>
      </c>
    </row>
  </sheetData>
  <mergeCells count="66">
    <mergeCell ref="AA20:AB20"/>
    <mergeCell ref="A1:AM1"/>
    <mergeCell ref="A2:AM2"/>
    <mergeCell ref="Y6:AF6"/>
    <mergeCell ref="Y20:Z20"/>
    <mergeCell ref="AG5:AM5"/>
    <mergeCell ref="AG6:AM6"/>
    <mergeCell ref="AG7:AJ7"/>
    <mergeCell ref="AK7:AM7"/>
    <mergeCell ref="AG8:AI8"/>
    <mergeCell ref="AJ8:AJ9"/>
    <mergeCell ref="AK8:AK9"/>
    <mergeCell ref="AM8:AM9"/>
    <mergeCell ref="AL8:AL9"/>
    <mergeCell ref="L5:AF5"/>
    <mergeCell ref="R6:X6"/>
    <mergeCell ref="AN5:AV5"/>
    <mergeCell ref="AT6:AV6"/>
    <mergeCell ref="AT7:AU7"/>
    <mergeCell ref="AV7:AV9"/>
    <mergeCell ref="AT8:AT9"/>
    <mergeCell ref="AN6:AP6"/>
    <mergeCell ref="AP7:AP9"/>
    <mergeCell ref="AQ6:AS6"/>
    <mergeCell ref="AS7:AS9"/>
    <mergeCell ref="AN7:AO7"/>
    <mergeCell ref="AN8:AN9"/>
    <mergeCell ref="AO8:AO9"/>
    <mergeCell ref="AQ7:AR7"/>
    <mergeCell ref="AQ8:AQ9"/>
    <mergeCell ref="AR8:AR9"/>
    <mergeCell ref="AU8:AU9"/>
    <mergeCell ref="AE7:AF7"/>
    <mergeCell ref="Y8:AC8"/>
    <mergeCell ref="AD8:AD9"/>
    <mergeCell ref="AE8:AE9"/>
    <mergeCell ref="AF8:AF9"/>
    <mergeCell ref="Y7:AD7"/>
    <mergeCell ref="R8:T8"/>
    <mergeCell ref="U8:U9"/>
    <mergeCell ref="V8:V9"/>
    <mergeCell ref="R7:U7"/>
    <mergeCell ref="V7:X7"/>
    <mergeCell ref="X8:X9"/>
    <mergeCell ref="W8:W9"/>
    <mergeCell ref="E5:K5"/>
    <mergeCell ref="E6:K6"/>
    <mergeCell ref="I7:K7"/>
    <mergeCell ref="I8:I9"/>
    <mergeCell ref="K8:K9"/>
    <mergeCell ref="A5:A9"/>
    <mergeCell ref="L6:Q6"/>
    <mergeCell ref="L7:O7"/>
    <mergeCell ref="L8:N8"/>
    <mergeCell ref="O8:O9"/>
    <mergeCell ref="P8:P9"/>
    <mergeCell ref="Q8:Q9"/>
    <mergeCell ref="P7:Q7"/>
    <mergeCell ref="C6:C9"/>
    <mergeCell ref="J8:J9"/>
    <mergeCell ref="B6:B9"/>
    <mergeCell ref="B5:D5"/>
    <mergeCell ref="D6:D9"/>
    <mergeCell ref="E7:H7"/>
    <mergeCell ref="H8:H9"/>
    <mergeCell ref="E8:G8"/>
  </mergeCells>
  <printOptions horizontalCentered="1"/>
  <pageMargins left="0" right="0" top="0.39370078740157483" bottom="0" header="0.98425196850393704" footer="0.19685039370078741"/>
  <pageSetup paperSize="9" scale="70" orientation="landscape" r:id="rId1"/>
  <headerFooter alignWithMargins="0">
    <oddFooter>&amp;C&amp;8&amp;Z&amp;F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(PE-RE1)จชต. กลุ่ม1-4</vt:lpstr>
      <vt:lpstr>(PE-RE2)จชต. กลุ่ม5-7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uraiwan</cp:lastModifiedBy>
  <cp:lastPrinted>2016-02-02T03:02:57Z</cp:lastPrinted>
  <dcterms:created xsi:type="dcterms:W3CDTF">2009-12-14T03:39:28Z</dcterms:created>
  <dcterms:modified xsi:type="dcterms:W3CDTF">2016-02-02T07:40:40Z</dcterms:modified>
</cp:coreProperties>
</file>