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660" yWindow="285" windowWidth="11355" windowHeight="7635" tabRatio="932" activeTab="1"/>
  </bookViews>
  <sheets>
    <sheet name="(PD-RD1)_พัฒนาภูมิปัญญาฯ" sheetId="76" r:id="rId1"/>
    <sheet name="(PD-RD2_เกษตรกรปราดเปรื่อง" sheetId="77" r:id="rId2"/>
    <sheet name="(PD-RD3)_สร้างความยั่งยืนฯ" sheetId="57" r:id="rId3"/>
    <sheet name="(PD-RD4)_ปาล์มน้ำมันและยางพารา" sheetId="75" r:id="rId4"/>
    <sheet name="(PD-RD5)_คลินิกเกษตร" sheetId="66" r:id="rId5"/>
    <sheet name="(PD-RD6)_พัฒนาเด็กและเยาวชน ตชด" sheetId="67" r:id="rId6"/>
    <sheet name="(PD-RD7)_ลุ่มน้ำปากพนัง" sheetId="69" r:id="rId7"/>
    <sheet name="(PD-RD8)_ศูนย์พิกุลทอง" sheetId="70" r:id="rId8"/>
    <sheet name="(PD-RD11)_ศูนย์เรียนรู้เศรษฐกิจ" sheetId="78" r:id="rId9"/>
    <sheet name="(PD-RD12)_กลุ่มอาชีพ" sheetId="72" r:id="rId10"/>
  </sheets>
  <definedNames>
    <definedName name="_xlnm.Print_Titles" localSheetId="0">'(PD-RD1)_พัฒนาภูมิปัญญาฯ'!$4:$7</definedName>
    <definedName name="_xlnm.Print_Titles" localSheetId="2">'(PD-RD3)_สร้างความยั่งยืนฯ'!$4:$7</definedName>
  </definedNames>
  <calcPr calcId="124519"/>
  <fileRecoveryPr autoRecover="0"/>
</workbook>
</file>

<file path=xl/calcChain.xml><?xml version="1.0" encoding="utf-8"?>
<calcChain xmlns="http://schemas.openxmlformats.org/spreadsheetml/2006/main">
  <c r="R11" i="67"/>
  <c r="N11"/>
  <c r="O8" i="78"/>
  <c r="H8"/>
  <c r="B8"/>
  <c r="AL29" i="67"/>
  <c r="AL22"/>
  <c r="AL16"/>
  <c r="W22"/>
  <c r="V22"/>
  <c r="V21"/>
  <c r="V20"/>
  <c r="V19"/>
  <c r="V18"/>
  <c r="U22"/>
  <c r="Q16"/>
  <c r="R16" s="1"/>
  <c r="M16"/>
  <c r="N16" s="1"/>
  <c r="R15"/>
  <c r="R14"/>
  <c r="N15"/>
  <c r="N14"/>
  <c r="R12"/>
  <c r="N12"/>
  <c r="AK30"/>
  <c r="AK29"/>
  <c r="AK16"/>
  <c r="AK22"/>
  <c r="T22"/>
  <c r="P16"/>
  <c r="L16"/>
  <c r="M15" i="57"/>
  <c r="N15"/>
  <c r="L15"/>
  <c r="K15"/>
  <c r="G9" i="77"/>
  <c r="S15" i="76"/>
  <c r="R15"/>
  <c r="S8"/>
  <c r="G13" i="77"/>
  <c r="G12"/>
  <c r="G8"/>
  <c r="I13" i="66"/>
  <c r="C13"/>
  <c r="B13"/>
  <c r="G13"/>
  <c r="I10"/>
  <c r="G10" i="69" l="1"/>
  <c r="Z10"/>
  <c r="Y10" i="70"/>
  <c r="Y9"/>
  <c r="F15" i="77"/>
  <c r="G15" s="1"/>
  <c r="G14"/>
  <c r="M12" i="75"/>
  <c r="G12"/>
  <c r="I9" i="66"/>
  <c r="I8"/>
  <c r="I14"/>
  <c r="I12"/>
  <c r="G9" i="78"/>
  <c r="S11" i="72"/>
  <c r="R11"/>
  <c r="Q11"/>
  <c r="P11"/>
  <c r="R10"/>
  <c r="I11"/>
  <c r="H11"/>
  <c r="I10"/>
  <c r="C10" i="78"/>
  <c r="B10"/>
  <c r="F10"/>
  <c r="X10" i="70"/>
  <c r="G10"/>
  <c r="F10"/>
  <c r="G9"/>
  <c r="E22" i="67"/>
  <c r="E16"/>
  <c r="H15" i="66"/>
  <c r="M11" i="75"/>
  <c r="Y11" i="69"/>
  <c r="Z11" s="1"/>
  <c r="F11"/>
  <c r="G11" s="1"/>
  <c r="Z9"/>
  <c r="G9"/>
  <c r="I11" i="66"/>
  <c r="M10" i="75"/>
  <c r="M9"/>
  <c r="G11" i="77"/>
  <c r="G10"/>
  <c r="M10" i="76"/>
  <c r="M11"/>
  <c r="M12"/>
  <c r="M13"/>
  <c r="M14"/>
  <c r="M9"/>
  <c r="G13"/>
  <c r="G10" i="72"/>
  <c r="O10"/>
  <c r="P9" i="78"/>
  <c r="P8"/>
  <c r="O9"/>
  <c r="E9"/>
  <c r="E8"/>
  <c r="E10" s="1"/>
  <c r="G10" s="1"/>
  <c r="V9" i="70"/>
  <c r="W9"/>
  <c r="E9"/>
  <c r="X10" i="69"/>
  <c r="X9"/>
  <c r="E10"/>
  <c r="E9"/>
  <c r="X13" i="67"/>
  <c r="Y13" s="1"/>
  <c r="G10" i="66"/>
  <c r="G11"/>
  <c r="G12"/>
  <c r="G14"/>
  <c r="G9"/>
  <c r="G8"/>
  <c r="K10" i="75"/>
  <c r="K11"/>
  <c r="K12"/>
  <c r="K9"/>
  <c r="E10"/>
  <c r="E11"/>
  <c r="E12"/>
  <c r="E9"/>
  <c r="E8"/>
  <c r="E10" i="77"/>
  <c r="E11"/>
  <c r="E12"/>
  <c r="E13"/>
  <c r="E14"/>
  <c r="E9"/>
  <c r="E8"/>
  <c r="K10" i="76"/>
  <c r="K11"/>
  <c r="K12"/>
  <c r="K13"/>
  <c r="K14"/>
  <c r="K9"/>
  <c r="K8"/>
  <c r="J9" i="78"/>
  <c r="D9"/>
  <c r="H9"/>
  <c r="B9"/>
  <c r="J8"/>
  <c r="D8"/>
  <c r="D10" s="1"/>
  <c r="G8" l="1"/>
  <c r="F15" i="57"/>
  <c r="G11" i="75" l="1"/>
  <c r="U8" i="76" l="1"/>
  <c r="N8"/>
  <c r="I9" i="57" l="1"/>
  <c r="B9"/>
  <c r="E9" s="1"/>
  <c r="G9" s="1"/>
  <c r="Q10" i="78" l="1"/>
  <c r="N10"/>
  <c r="K10"/>
  <c r="I10"/>
  <c r="P10"/>
  <c r="O10"/>
  <c r="J10"/>
  <c r="H10"/>
  <c r="AJ24" i="67"/>
  <c r="AI24"/>
  <c r="X21"/>
  <c r="Y21" s="1"/>
  <c r="AJ19"/>
  <c r="AI19"/>
  <c r="X19"/>
  <c r="Y19" s="1"/>
  <c r="F13" i="75"/>
  <c r="G10"/>
  <c r="G9"/>
  <c r="G8"/>
  <c r="H10"/>
  <c r="H14" i="76"/>
  <c r="H9"/>
  <c r="H8"/>
  <c r="B76" i="67"/>
  <c r="AJ28"/>
  <c r="AI28"/>
  <c r="G27"/>
  <c r="H27" s="1"/>
  <c r="J27" s="1"/>
  <c r="L13" i="75" l="1"/>
  <c r="M8"/>
  <c r="M8" i="76"/>
  <c r="G8"/>
  <c r="G11"/>
  <c r="G10"/>
  <c r="F15"/>
  <c r="G15" s="1"/>
  <c r="G14"/>
  <c r="I16" i="67" l="1"/>
  <c r="I29"/>
  <c r="I22"/>
  <c r="K12"/>
  <c r="G12" i="76"/>
  <c r="K13" i="67" l="1"/>
  <c r="AJ14" l="1"/>
  <c r="E9" i="66"/>
  <c r="D9"/>
  <c r="C9"/>
  <c r="B9"/>
  <c r="U9" i="76"/>
  <c r="O9"/>
  <c r="AJ25" i="67"/>
  <c r="AI25"/>
  <c r="G25"/>
  <c r="H25" s="1"/>
  <c r="J25" s="1"/>
  <c r="W20"/>
  <c r="Y20" s="1"/>
  <c r="C20"/>
  <c r="D20" s="1"/>
  <c r="F20" s="1"/>
  <c r="I14" i="57" l="1"/>
  <c r="H14"/>
  <c r="B14"/>
  <c r="E14" s="1"/>
  <c r="G14" s="1"/>
  <c r="AA9" i="70" l="1"/>
  <c r="T9"/>
  <c r="O9"/>
  <c r="O10" s="1"/>
  <c r="H9"/>
  <c r="B9"/>
  <c r="J9" i="57"/>
  <c r="O9" i="77"/>
  <c r="I9"/>
  <c r="B9"/>
  <c r="E9" i="76"/>
  <c r="V10"/>
  <c r="V11"/>
  <c r="V12"/>
  <c r="V13"/>
  <c r="V14"/>
  <c r="V8"/>
  <c r="B9"/>
  <c r="A1" i="75"/>
  <c r="M10" i="72"/>
  <c r="L10"/>
  <c r="K10"/>
  <c r="D10"/>
  <c r="A1"/>
  <c r="Q10" i="70"/>
  <c r="N10"/>
  <c r="K11" i="69"/>
  <c r="Q11"/>
  <c r="AB9"/>
  <c r="AB10"/>
  <c r="U10"/>
  <c r="U9"/>
  <c r="U11" s="1"/>
  <c r="O10"/>
  <c r="O9"/>
  <c r="H10"/>
  <c r="H9"/>
  <c r="B10"/>
  <c r="D10" s="1"/>
  <c r="B9"/>
  <c r="B11" s="1"/>
  <c r="A1"/>
  <c r="A1" i="78" s="1"/>
  <c r="B29" i="67"/>
  <c r="P9" i="70" l="1"/>
  <c r="P10" s="1"/>
  <c r="O11" i="69"/>
  <c r="H11"/>
  <c r="D9"/>
  <c r="AJ18" i="67"/>
  <c r="V30"/>
  <c r="U30"/>
  <c r="T30"/>
  <c r="S21"/>
  <c r="S20"/>
  <c r="S19"/>
  <c r="S18"/>
  <c r="AJ15"/>
  <c r="AI15"/>
  <c r="AI14"/>
  <c r="AJ27"/>
  <c r="AI27"/>
  <c r="AJ21"/>
  <c r="AI21"/>
  <c r="AJ13"/>
  <c r="AI13"/>
  <c r="AJ26"/>
  <c r="AJ29" s="1"/>
  <c r="AI26"/>
  <c r="AI29" s="1"/>
  <c r="AJ20"/>
  <c r="AI20"/>
  <c r="AJ12"/>
  <c r="AI12"/>
  <c r="AJ11"/>
  <c r="AI11"/>
  <c r="AJ10"/>
  <c r="AI18"/>
  <c r="AI22" s="1"/>
  <c r="AI10"/>
  <c r="AD15"/>
  <c r="AE15" s="1"/>
  <c r="AD14"/>
  <c r="AE14" s="1"/>
  <c r="AD13"/>
  <c r="AE13" s="1"/>
  <c r="AC12"/>
  <c r="AD11"/>
  <c r="AE11" s="1"/>
  <c r="AD10"/>
  <c r="AE10" s="1"/>
  <c r="I30"/>
  <c r="L30"/>
  <c r="M30"/>
  <c r="N30"/>
  <c r="P30"/>
  <c r="Q30"/>
  <c r="R30"/>
  <c r="Z30"/>
  <c r="AA30"/>
  <c r="AB30"/>
  <c r="AF30"/>
  <c r="AG30"/>
  <c r="AH30"/>
  <c r="AL30"/>
  <c r="AM30"/>
  <c r="AN30"/>
  <c r="AO30"/>
  <c r="AP30"/>
  <c r="AQ30"/>
  <c r="X18"/>
  <c r="X15"/>
  <c r="Y15" s="1"/>
  <c r="X14"/>
  <c r="Y14" s="1"/>
  <c r="W12"/>
  <c r="X11"/>
  <c r="Y11" s="1"/>
  <c r="X10"/>
  <c r="Y10" s="1"/>
  <c r="O15"/>
  <c r="O14"/>
  <c r="O13"/>
  <c r="O12"/>
  <c r="O11"/>
  <c r="O10"/>
  <c r="K15"/>
  <c r="K14"/>
  <c r="K11"/>
  <c r="K10"/>
  <c r="E30"/>
  <c r="G28"/>
  <c r="H28" s="1"/>
  <c r="J28" s="1"/>
  <c r="G21"/>
  <c r="H21" s="1"/>
  <c r="J21" s="1"/>
  <c r="G26"/>
  <c r="H26" s="1"/>
  <c r="J26" s="1"/>
  <c r="G20"/>
  <c r="H20" s="1"/>
  <c r="J20" s="1"/>
  <c r="G24"/>
  <c r="H24" s="1"/>
  <c r="J24" s="1"/>
  <c r="G19"/>
  <c r="H19" s="1"/>
  <c r="J19" s="1"/>
  <c r="G18"/>
  <c r="H18" s="1"/>
  <c r="J18" s="1"/>
  <c r="C21"/>
  <c r="D21" s="1"/>
  <c r="F21" s="1"/>
  <c r="C19"/>
  <c r="D19" s="1"/>
  <c r="F19" s="1"/>
  <c r="C18"/>
  <c r="D18" s="1"/>
  <c r="F18" s="1"/>
  <c r="G15"/>
  <c r="H15" s="1"/>
  <c r="J15" s="1"/>
  <c r="G14"/>
  <c r="H14" s="1"/>
  <c r="J14" s="1"/>
  <c r="G13"/>
  <c r="H13" s="1"/>
  <c r="J13" s="1"/>
  <c r="G12"/>
  <c r="H12" s="1"/>
  <c r="J12" s="1"/>
  <c r="G11"/>
  <c r="H11" s="1"/>
  <c r="J11" s="1"/>
  <c r="G10"/>
  <c r="H10" s="1"/>
  <c r="J10" s="1"/>
  <c r="C15"/>
  <c r="D15" s="1"/>
  <c r="F15" s="1"/>
  <c r="C14"/>
  <c r="D14" s="1"/>
  <c r="F14" s="1"/>
  <c r="C13"/>
  <c r="D13" s="1"/>
  <c r="F13" s="1"/>
  <c r="C12"/>
  <c r="D12" s="1"/>
  <c r="F12" s="1"/>
  <c r="C11"/>
  <c r="D11" s="1"/>
  <c r="F11" s="1"/>
  <c r="C10"/>
  <c r="D10" s="1"/>
  <c r="F10" s="1"/>
  <c r="B22"/>
  <c r="B16"/>
  <c r="E14" i="66"/>
  <c r="E13"/>
  <c r="E12"/>
  <c r="E11"/>
  <c r="E10"/>
  <c r="E8"/>
  <c r="D14"/>
  <c r="D13"/>
  <c r="D12"/>
  <c r="D11"/>
  <c r="D10"/>
  <c r="D8"/>
  <c r="C14"/>
  <c r="C12"/>
  <c r="C11"/>
  <c r="C10"/>
  <c r="C8"/>
  <c r="B14"/>
  <c r="B12"/>
  <c r="B11"/>
  <c r="B10"/>
  <c r="B8"/>
  <c r="U13" i="75"/>
  <c r="U11"/>
  <c r="U10"/>
  <c r="U12"/>
  <c r="U9"/>
  <c r="U8"/>
  <c r="N10"/>
  <c r="O11"/>
  <c r="X22" i="67" l="1"/>
  <c r="Y18"/>
  <c r="Y22" s="1"/>
  <c r="W16"/>
  <c r="W30" s="1"/>
  <c r="Y12"/>
  <c r="AC16"/>
  <c r="AC30" s="1"/>
  <c r="AE12"/>
  <c r="Y16"/>
  <c r="Y30" s="1"/>
  <c r="AE16"/>
  <c r="AE30" s="1"/>
  <c r="H22"/>
  <c r="J22" s="1"/>
  <c r="H16"/>
  <c r="J16" s="1"/>
  <c r="H29"/>
  <c r="J29" s="1"/>
  <c r="C76"/>
  <c r="AD16"/>
  <c r="AD30" s="1"/>
  <c r="S22"/>
  <c r="S30" s="1"/>
  <c r="AJ22"/>
  <c r="AJ16"/>
  <c r="AI16"/>
  <c r="AI30" s="1"/>
  <c r="B30"/>
  <c r="C22"/>
  <c r="D16"/>
  <c r="F16" s="1"/>
  <c r="G22"/>
  <c r="G29"/>
  <c r="D22"/>
  <c r="F22" s="1"/>
  <c r="K16"/>
  <c r="K30" s="1"/>
  <c r="O16"/>
  <c r="O30" s="1"/>
  <c r="X16"/>
  <c r="X30" s="1"/>
  <c r="C16"/>
  <c r="G16"/>
  <c r="G30" s="1"/>
  <c r="N12" i="75"/>
  <c r="O9"/>
  <c r="O13" s="1"/>
  <c r="N8"/>
  <c r="N13" s="1"/>
  <c r="K8"/>
  <c r="H11"/>
  <c r="H12"/>
  <c r="H9"/>
  <c r="H8"/>
  <c r="J8" s="1"/>
  <c r="B10"/>
  <c r="D10" s="1"/>
  <c r="B11"/>
  <c r="D11" s="1"/>
  <c r="B12"/>
  <c r="D12" s="1"/>
  <c r="B9"/>
  <c r="D9" s="1"/>
  <c r="B8"/>
  <c r="D8" s="1"/>
  <c r="A1" i="77"/>
  <c r="A1" i="57"/>
  <c r="I10"/>
  <c r="F30" i="67" l="1"/>
  <c r="D30"/>
  <c r="H30"/>
  <c r="J30" s="1"/>
  <c r="AJ30"/>
  <c r="C30"/>
  <c r="E13" i="75"/>
  <c r="G13" s="1"/>
  <c r="B13"/>
  <c r="D13"/>
  <c r="Q15" i="57"/>
  <c r="H11"/>
  <c r="J14"/>
  <c r="I13"/>
  <c r="J13" s="1"/>
  <c r="H12"/>
  <c r="J10"/>
  <c r="I11"/>
  <c r="I8"/>
  <c r="I15" s="1"/>
  <c r="D9"/>
  <c r="D14"/>
  <c r="B13"/>
  <c r="B12"/>
  <c r="B11"/>
  <c r="B10"/>
  <c r="B8"/>
  <c r="C15"/>
  <c r="O15" i="77"/>
  <c r="O14"/>
  <c r="O13"/>
  <c r="O12"/>
  <c r="O11"/>
  <c r="O10"/>
  <c r="O8"/>
  <c r="H14"/>
  <c r="H13"/>
  <c r="J13" s="1"/>
  <c r="H12"/>
  <c r="H11"/>
  <c r="H10"/>
  <c r="H8"/>
  <c r="H15" s="1"/>
  <c r="L15"/>
  <c r="B14"/>
  <c r="B13"/>
  <c r="B12"/>
  <c r="B11"/>
  <c r="B10"/>
  <c r="B8"/>
  <c r="Z15"/>
  <c r="Y15"/>
  <c r="T15"/>
  <c r="S15"/>
  <c r="R15"/>
  <c r="P14"/>
  <c r="J14"/>
  <c r="D14"/>
  <c r="P13"/>
  <c r="D13"/>
  <c r="P12"/>
  <c r="P11"/>
  <c r="P10"/>
  <c r="P9"/>
  <c r="J9"/>
  <c r="D8" i="57" l="1"/>
  <c r="E8"/>
  <c r="D11"/>
  <c r="E11"/>
  <c r="G11" s="1"/>
  <c r="D13"/>
  <c r="E13"/>
  <c r="G13" s="1"/>
  <c r="D10"/>
  <c r="E10"/>
  <c r="G10" s="1"/>
  <c r="D12"/>
  <c r="E12"/>
  <c r="G12" s="1"/>
  <c r="H15"/>
  <c r="J8"/>
  <c r="J12"/>
  <c r="B15"/>
  <c r="Q15" i="77"/>
  <c r="D9"/>
  <c r="P15"/>
  <c r="U15" s="1"/>
  <c r="D10"/>
  <c r="D12"/>
  <c r="J12"/>
  <c r="D8"/>
  <c r="J8"/>
  <c r="P8"/>
  <c r="J10"/>
  <c r="D11"/>
  <c r="J11"/>
  <c r="B15"/>
  <c r="G8" i="57" l="1"/>
  <c r="E15"/>
  <c r="G15" s="1"/>
  <c r="J15" i="77"/>
  <c r="K15"/>
  <c r="E15"/>
  <c r="D15"/>
  <c r="J11" i="57" l="1"/>
  <c r="J15" s="1"/>
  <c r="U14" i="76"/>
  <c r="U13"/>
  <c r="U12"/>
  <c r="U11"/>
  <c r="U10"/>
  <c r="P8"/>
  <c r="N14"/>
  <c r="P14" s="1"/>
  <c r="N13"/>
  <c r="P13" s="1"/>
  <c r="N12"/>
  <c r="P12" s="1"/>
  <c r="O11"/>
  <c r="O15" s="1"/>
  <c r="N11"/>
  <c r="N10"/>
  <c r="L15"/>
  <c r="J9"/>
  <c r="J14"/>
  <c r="H13"/>
  <c r="J13" s="1"/>
  <c r="H12"/>
  <c r="J12" s="1"/>
  <c r="H11"/>
  <c r="J11" s="1"/>
  <c r="H10"/>
  <c r="J10" s="1"/>
  <c r="I15"/>
  <c r="J8"/>
  <c r="E14"/>
  <c r="E13"/>
  <c r="E12"/>
  <c r="E11"/>
  <c r="E10"/>
  <c r="E8"/>
  <c r="D9"/>
  <c r="B14"/>
  <c r="D14" s="1"/>
  <c r="B13"/>
  <c r="D13" s="1"/>
  <c r="B12"/>
  <c r="D12" s="1"/>
  <c r="B11"/>
  <c r="D11" s="1"/>
  <c r="B10"/>
  <c r="D10" s="1"/>
  <c r="B8"/>
  <c r="AB13" i="75"/>
  <c r="D15" i="57" l="1"/>
  <c r="U15" i="76"/>
  <c r="K15"/>
  <c r="M15" s="1"/>
  <c r="N15"/>
  <c r="Q15"/>
  <c r="B15"/>
  <c r="P11"/>
  <c r="P10"/>
  <c r="J15"/>
  <c r="E15"/>
  <c r="D8"/>
  <c r="D15" s="1"/>
  <c r="H15"/>
  <c r="J10" i="72" l="1"/>
  <c r="O10" i="66" l="1"/>
  <c r="O11"/>
  <c r="O12"/>
  <c r="O13"/>
  <c r="O14"/>
  <c r="O9"/>
  <c r="O8"/>
  <c r="AA13" i="75" l="1"/>
  <c r="V12" l="1"/>
  <c r="P12"/>
  <c r="J12"/>
  <c r="AE11" i="72"/>
  <c r="Z11"/>
  <c r="U11"/>
  <c r="N10"/>
  <c r="F10"/>
  <c r="P8" i="75" l="1"/>
  <c r="P9" l="1"/>
  <c r="P11"/>
  <c r="P10"/>
  <c r="P13" l="1"/>
  <c r="V9" i="76"/>
  <c r="V15" s="1"/>
  <c r="P9"/>
  <c r="P15"/>
  <c r="AC10" i="70"/>
  <c r="AD11" i="69" l="1"/>
  <c r="AI11"/>
  <c r="BB16" i="72"/>
  <c r="BC17"/>
  <c r="BB13"/>
  <c r="BB11"/>
  <c r="BB10"/>
  <c r="AL11" l="1"/>
  <c r="AJ11" l="1"/>
  <c r="C11" l="1"/>
  <c r="B11" l="1"/>
  <c r="K15" i="66" l="1"/>
  <c r="L15"/>
  <c r="M15"/>
  <c r="N15"/>
  <c r="J15"/>
  <c r="O15" l="1"/>
  <c r="AH11" i="69" l="1"/>
  <c r="V11" i="75" l="1"/>
  <c r="V10"/>
  <c r="V8"/>
  <c r="V9" l="1"/>
  <c r="V13" s="1"/>
  <c r="J10"/>
  <c r="J11"/>
  <c r="M11" i="72"/>
  <c r="K11"/>
  <c r="J11"/>
  <c r="O11"/>
  <c r="L11"/>
  <c r="G11"/>
  <c r="H13" i="75" l="1"/>
  <c r="I13"/>
  <c r="J9"/>
  <c r="D11" i="72"/>
  <c r="N11"/>
  <c r="J13" i="75" l="1"/>
  <c r="Y14" s="1"/>
  <c r="K13"/>
  <c r="M13" s="1"/>
  <c r="F11" i="72"/>
  <c r="AA10" i="70"/>
  <c r="U10"/>
  <c r="T10"/>
  <c r="I10"/>
  <c r="H10"/>
  <c r="C10"/>
  <c r="E10"/>
  <c r="V11" i="69"/>
  <c r="AB11"/>
  <c r="X11"/>
  <c r="D15" i="66"/>
  <c r="C15"/>
  <c r="F14"/>
  <c r="F12"/>
  <c r="F11"/>
  <c r="F10"/>
  <c r="F8" l="1"/>
  <c r="A1"/>
  <c r="A1" i="67" s="1"/>
  <c r="A1" i="70" s="1"/>
  <c r="D9"/>
  <c r="J9"/>
  <c r="B10"/>
  <c r="Z10"/>
  <c r="K10"/>
  <c r="AC9" i="69"/>
  <c r="AC10"/>
  <c r="AA11"/>
  <c r="W9"/>
  <c r="W10"/>
  <c r="P9"/>
  <c r="P10"/>
  <c r="J9"/>
  <c r="J10"/>
  <c r="D11"/>
  <c r="E15" i="66"/>
  <c r="F9"/>
  <c r="F13"/>
  <c r="B15"/>
  <c r="W10" i="70" l="1"/>
  <c r="G15" i="66"/>
  <c r="I15" s="1"/>
  <c r="AB10" i="70"/>
  <c r="D10"/>
  <c r="V10"/>
  <c r="J10"/>
  <c r="AC11" i="69"/>
  <c r="W11"/>
  <c r="P11"/>
  <c r="J11"/>
  <c r="E11"/>
  <c r="F15" i="66"/>
</calcChain>
</file>

<file path=xl/sharedStrings.xml><?xml version="1.0" encoding="utf-8"?>
<sst xmlns="http://schemas.openxmlformats.org/spreadsheetml/2006/main" count="673" uniqueCount="228">
  <si>
    <t>สำนักงานตรวจบัญชีสหกรณ์ที่ 9</t>
  </si>
  <si>
    <t>ไตรมาส</t>
  </si>
  <si>
    <t>%</t>
  </si>
  <si>
    <t>รวม</t>
  </si>
  <si>
    <t>ผล</t>
  </si>
  <si>
    <t>แผนงาน</t>
  </si>
  <si>
    <t>ภาพรวม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</si>
  <si>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</si>
  <si>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</si>
  <si>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</si>
  <si>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</si>
  <si>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</si>
  <si>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</si>
  <si>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</si>
  <si>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สตส.</t>
  </si>
  <si>
    <t>แห่ง</t>
  </si>
  <si>
    <t>จำนวน</t>
  </si>
  <si>
    <t>แผนงาน (ครั้ง)</t>
  </si>
  <si>
    <t>เกษตรกร</t>
  </si>
  <si>
    <t>ผลงาน</t>
  </si>
  <si>
    <t>คน</t>
  </si>
  <si>
    <t>(คน)</t>
  </si>
  <si>
    <t>ร้อยละ</t>
  </si>
  <si>
    <t>(ครั้ง)</t>
  </si>
  <si>
    <t>แผนสะสม</t>
  </si>
  <si>
    <t>แผนงาน (คน)</t>
  </si>
  <si>
    <t xml:space="preserve"> </t>
  </si>
  <si>
    <t>ทำบัญชีได้</t>
  </si>
  <si>
    <t>ทำบัญชีไม่ได้</t>
  </si>
  <si>
    <t>ครั้ง</t>
  </si>
  <si>
    <t>สตท.</t>
  </si>
  <si>
    <t>แผน</t>
  </si>
  <si>
    <t>เดือน</t>
  </si>
  <si>
    <t>การจัดนิทรรศการ</t>
  </si>
  <si>
    <t>กิจกรรมกำกับแนะนำการจัดทำบัญชี</t>
  </si>
  <si>
    <t>กิจกรรมติดตาม/เก็บข้อมูลการจัดทำบัญชี</t>
  </si>
  <si>
    <t>กิจกรรมสอนแนะการวิเคราะห์บัญชีต้นทุนประกอบอาชีพ</t>
  </si>
  <si>
    <t>กิจกรรมอบรม/สอนแนะการจัดทำบัญชีต้นทุนอาชีพ</t>
  </si>
  <si>
    <t>ดำเนินธุรกิจ</t>
  </si>
  <si>
    <t>กิจกรรมอบรมซักซ้อมการปฏิบัติงานของเจ้าหน้าที่</t>
  </si>
  <si>
    <t>(เดือน)</t>
  </si>
  <si>
    <t>หยุดดำเนินกิจการ</t>
  </si>
  <si>
    <t xml:space="preserve">(20% - ของกลุ่มที่ดำเนินธุรกิจ) </t>
  </si>
  <si>
    <t>กิจกรรมซักซ้อมการปฏิบัติงานครูบัญชี (อาสาสมัครเกษตรด้านบัญชี)</t>
  </si>
  <si>
    <t>ติดตามประเมินผลโครงการ (สตท.)  (10%)</t>
  </si>
  <si>
    <t>การดำเนินงาน</t>
  </si>
  <si>
    <t>ไตรมาสละ 1 ครั้ง</t>
  </si>
  <si>
    <t xml:space="preserve">    - จ้างเหมาบริการเจ้าหน้าที่โครงการ   @ 4 ครั้ง</t>
  </si>
  <si>
    <t xml:space="preserve">    - ซักซ้อมการปฏิบัติงานเจ้าหน้าที่โครงการ</t>
  </si>
  <si>
    <t xml:space="preserve">    - ติดตามตรวจเยี่ยมกลุ่มอาชีพ  กลุ่มละ 2 ครั้ง</t>
  </si>
  <si>
    <t>ผู้เข้ารับบริการ  (คน)</t>
  </si>
  <si>
    <t>เยาวชน</t>
  </si>
  <si>
    <t>นักเรียน</t>
  </si>
  <si>
    <t>ประชาชนทั่วไป</t>
  </si>
  <si>
    <t>อื่นๆ</t>
  </si>
  <si>
    <t>กิจกรรมกำกับแนะนำการจัดทำบัญชีต้นทุนอาชีพ</t>
  </si>
  <si>
    <t>ผลงาน (คน)</t>
  </si>
  <si>
    <t>อบรม/สอนแนะการจัดทำบัญชีต้นทุนอาชีพ</t>
  </si>
  <si>
    <t>กำกับแนะนำการจัดทำบัญชี</t>
  </si>
  <si>
    <t>จำนวนที่ติดตาม</t>
  </si>
  <si>
    <t>จำนวนที่จัดทำบัญชีได้</t>
  </si>
  <si>
    <t>การติดตามประเมินผล (สตท.)</t>
  </si>
  <si>
    <t>จำนวนกลุ่มเป้าหมายที่ติดตามได้ (คน)</t>
  </si>
  <si>
    <t>ติดตาม</t>
  </si>
  <si>
    <t>กลุ่ม</t>
  </si>
  <si>
    <t>ร้อยละ (เทียบจำนวนที่สอนแนะทั้งสิ้น)</t>
  </si>
  <si>
    <t xml:space="preserve">ร้อยละ </t>
  </si>
  <si>
    <r>
      <t>ติดตามประเมินผลโครงการ</t>
    </r>
    <r>
      <rPr>
        <b/>
        <sz val="11"/>
        <color rgb="FF0000FF"/>
        <rFont val="Tahoma"/>
        <family val="2"/>
      </rPr>
      <t xml:space="preserve"> (สตท.)</t>
    </r>
  </si>
  <si>
    <r>
      <t xml:space="preserve">กิจกรรมกำกับแนะนำการจัดทำบัญชี  </t>
    </r>
    <r>
      <rPr>
        <b/>
        <sz val="10"/>
        <color rgb="FF0000FF"/>
        <rFont val="Tahoma"/>
        <family val="2"/>
      </rPr>
      <t>(50%)</t>
    </r>
  </si>
  <si>
    <r>
      <t xml:space="preserve">กิจกรรมติดตาม/เก็บข้อมูลการจัดทำบัญชี </t>
    </r>
    <r>
      <rPr>
        <b/>
        <sz val="10"/>
        <color rgb="FF0000FF"/>
        <rFont val="Tahoma"/>
        <family val="2"/>
      </rPr>
      <t xml:space="preserve"> (50%)</t>
    </r>
  </si>
  <si>
    <t>ไตรมาส 1</t>
  </si>
  <si>
    <t>ไตรมาส 3 - 4</t>
  </si>
  <si>
    <r>
      <t xml:space="preserve">ติดตามประเมินผลโครงการ - สตท. </t>
    </r>
    <r>
      <rPr>
        <b/>
        <sz val="11"/>
        <color rgb="FF0000FF"/>
        <rFont val="Tahoma"/>
        <family val="2"/>
      </rPr>
      <t xml:space="preserve"> </t>
    </r>
  </si>
  <si>
    <t>ไม่ดำเนินธุรกิจ (ต้องดูแล)</t>
  </si>
  <si>
    <t>ไตรมาส 2 - 3</t>
  </si>
  <si>
    <t>กลุ่มดำเนินธุรกิจ</t>
  </si>
  <si>
    <t>ผลการตรวจเยี่ยม</t>
  </si>
  <si>
    <t>สถานะกลุ่มอาชีพจาก</t>
  </si>
  <si>
    <t>กลุ่มไม่ดำเนินธุรกิจ</t>
  </si>
  <si>
    <t>ติดตามตรวจเยี่ยม @ 2 ครั้ง</t>
  </si>
  <si>
    <r>
      <t xml:space="preserve">ติดตามประเมินผลโครงการ (สตท.) </t>
    </r>
    <r>
      <rPr>
        <b/>
        <sz val="11"/>
        <color rgb="FF0000FF"/>
        <rFont val="Tahoma"/>
        <family val="2"/>
      </rPr>
      <t xml:space="preserve"> (10%)</t>
    </r>
  </si>
  <si>
    <t>กลุ่มจัดทำบัญชีไม่ได้</t>
  </si>
  <si>
    <t>กลุ่มจัดทำบัญชีได้  (20%)</t>
  </si>
  <si>
    <t>ติด ตาม</t>
  </si>
  <si>
    <t>กลุ่มที่ 1 จัดทำบัญชีไม่ได้</t>
  </si>
  <si>
    <r>
      <t xml:space="preserve">ติดตามประเมินผลโครงการ </t>
    </r>
    <r>
      <rPr>
        <b/>
        <sz val="11"/>
        <color rgb="FF0000FF"/>
        <rFont val="Tahoma"/>
        <family val="2"/>
      </rPr>
      <t xml:space="preserve"> (10%)</t>
    </r>
  </si>
  <si>
    <t>ไตรมาส 3</t>
  </si>
  <si>
    <t>จำนวนโรง เรียน</t>
  </si>
  <si>
    <t>ไตรมาส 2</t>
  </si>
  <si>
    <t>สอนแนะการจัดทำบัญชี @ 4 ครั้ง</t>
  </si>
  <si>
    <t>มีการจัดทำบัญชี</t>
  </si>
  <si>
    <t>มีการจัดทำบัญชีเป็นประจำ สม่ำเสมอ</t>
  </si>
  <si>
    <t>ผลการติดตาม (คน)</t>
  </si>
  <si>
    <t>วิเคราะห์ต้นทุนอาชีพได้</t>
  </si>
  <si>
    <t>ผลการตรวจเยี่ยม (คน)</t>
  </si>
  <si>
    <t>ทำบัญชีรับ-จ่าย/ต้นทุนได้</t>
  </si>
  <si>
    <t>กิจกรรมอบรม/ซักซ้อมครูบัญชี</t>
  </si>
  <si>
    <t>ซักซ้อม (คน)</t>
  </si>
  <si>
    <t>กิจกรรมติดตามการจัดทำบัญชี/เก็บข้อมูล</t>
  </si>
  <si>
    <t>1. กำหนดเป้าหมายรายคนที่จะสอนแนะบัญชีต้นทุนอาชีพ</t>
  </si>
  <si>
    <t>2. อบรม/ซักซ้อมครูบัญชี (1 คน : 30 คน)</t>
  </si>
  <si>
    <t>3. อบรม/สอนแนะการจัดทำบัญชีต้นทุนอาชีพ  จำนวน 12,520 คน</t>
  </si>
  <si>
    <t>4. กำกับแนะนำการจัดทำบัญชี  โดยครูบัญชี  จำนวน 1,502 คน  (12% ของเป้าหมาย)</t>
  </si>
  <si>
    <t>5. ติดตามการจัดทำบัญชี  โดยครูบัญชี  จำนวน 1,502 คน  (12%  ของเป้าหมาย)</t>
  </si>
  <si>
    <t>เดือนกันยายน</t>
  </si>
  <si>
    <t>ติดตามประเมินผลโครงการ  จำนวน 150 คน  (10%  ของ  1,502 คน)</t>
  </si>
  <si>
    <t>จัดตั้งศูนย์ข้อมูล</t>
  </si>
  <si>
    <t>ติดตามประเมินผลโครงการ (10%)</t>
  </si>
  <si>
    <t>นำความรู้ไปใช้ประโยชน์ได้</t>
  </si>
  <si>
    <t>โครงการพัฒนาเกษตรกรปราดเปรื่อง (Smart Farmer)  -  (PD - RD2)</t>
  </si>
  <si>
    <t>กิจกรรมอบรม/สอนแนะการจัดทำบัญชีและการใช้ข้อมูลทางบัญชีในการประกอบอาชีพ</t>
  </si>
  <si>
    <t>กิจกรรมติดตามการจัดทำบัญชี</t>
  </si>
  <si>
    <t>1. กำหนดเป้าหมายรายคนที่จะสอนแนะการจัดทำบัญชีและการใช้ข้อมูลทางบัญชี</t>
  </si>
  <si>
    <t>2. อบรม/สอนแนะการจัดทำบัญชีและการใช้ข้อมูลทางบัญชีในการประกอบอาชีพ</t>
  </si>
  <si>
    <t xml:space="preserve">    แก่เกษตรกร  จำนวน  1,130 คน</t>
  </si>
  <si>
    <t>3. กำกับแนะนำการจัดทำบัญชี  โดยครูบัญชี  จำนวน  1,130 คน</t>
  </si>
  <si>
    <t>4. ติดตามการจัดทำบัญชี  โดยครูบัญชี  จำนวน 1,130 คน</t>
  </si>
  <si>
    <t>ติดตามประเมินผลโครงการ  จำนวน 113 คน  (10%  ของ 1,130 คน)</t>
  </si>
  <si>
    <t>กิจกรรมติดตามการจัดทำบัญชีต้นทุนอาชีพ</t>
  </si>
  <si>
    <t>2. กำกับแนะนำการจัดทำบัญชี  โดยครูบัญชี  จำนวน  1,500 คน</t>
  </si>
  <si>
    <t xml:space="preserve">1. กำหนดเป้าหมายรายคนที่สามารถจัดทำบัญชีต้นทุนอาชีพได้   </t>
  </si>
  <si>
    <t>กลุ่มใหม่ 600 คน (1500 x 40%)</t>
  </si>
  <si>
    <t>1. กำหนดเป้าหมายรายคนที่ปลูกปาล์มน้ำมันและยางพารา</t>
  </si>
  <si>
    <t>2. ซักซ้อมการปฏิบัติงานครูบัญชี  18 คน  (1 คน : 30 คน)</t>
  </si>
  <si>
    <t>3. อบรม/สอนแนะการจัดทำบัญชีต้นทุนอาชีพแก่เกษตรกร  จำนวน 500 คน</t>
  </si>
  <si>
    <t>4. กำกับแนะนำการจัดทำบัญชี โดยครูบัญชี 250 คน (50% ของ 500 คน)</t>
  </si>
  <si>
    <t>5. ติดตามการจัดทำบัญชี  โดยครูบัญชี  250 คน  (50%  ของ 500 คน)</t>
  </si>
  <si>
    <t>ติดตามประเมินผลโครงการ  จำนวน 50 คน (10% ของ 500 คน)</t>
  </si>
  <si>
    <t>โครงการแนะนำการจัดทำบัญชีแก่เกษตรกรที่ปลูกปาล์มน้ำมันและยางพารา (PD - RD4)</t>
  </si>
  <si>
    <t>โครงการคลินิกเกษตรเคลื่อนที่  (PD - RD5)</t>
  </si>
  <si>
    <t>จัดนิทรรศการคลินิกเกษตรเคลื่อนที่</t>
  </si>
  <si>
    <t>1. คลินิกเคลื่อนที่ในพระราชานุเคราะห์ฯ  ตามแผนงานของกรมส่งเสริมการเกษตรและ</t>
  </si>
  <si>
    <t xml:space="preserve">    ตามขบวนเสด็จของสมเด็จพระบรมโอรสาธิราชฯ สยามมกุฎราชกุมาร 77 จังหวัด</t>
  </si>
  <si>
    <t xml:space="preserve">2. ร่วมจัดนิทรรศการจังหวัดเคลื่อนที่  </t>
  </si>
  <si>
    <t>เดือนละ 1 ครั้ง</t>
  </si>
  <si>
    <t>โครงการพัฒนาเด็กและเยาวชนในถิ่นทุรกันดาร (PD - RD6)</t>
  </si>
  <si>
    <t>ประชุมครูบัญชีเยาวชน</t>
  </si>
  <si>
    <t>โรงเรียนเฉลิมพระเกียรติ</t>
  </si>
  <si>
    <t>โรงเรียนขยายผล</t>
  </si>
  <si>
    <t>อบรมการจัดทำบัญชีกิจกรรมสหกรณ์นักเรียน/ผลิตทางการเกษตรเพื่ออาหารกลางวัน</t>
  </si>
  <si>
    <t>โรงเรียนตามโครงการเฉลิมพระเกียรติ</t>
  </si>
  <si>
    <t>กำกับแนะนำการจัดทำบัญชีรายบุคคล (โรงเรียนเฉลิมพระเกียรติ 60 พรรษา)</t>
  </si>
  <si>
    <t>นักเรียน (บัญชีต้นกล้า)</t>
  </si>
  <si>
    <t>ผู้ปกครอง</t>
  </si>
  <si>
    <t>ผู้ปกครอง (บัญชีรับ-จ่ายครัวเรือน/ต้นทุนอาชีพ)</t>
  </si>
  <si>
    <t>สอนแนะนำการจัดทำบัญชี (โรงเรียนขยายผล)</t>
  </si>
  <si>
    <t>ติดตามผลการจัดทำบัญชี</t>
  </si>
  <si>
    <t>ติดตามตรวจเยี่ยมโรงเรียน (โรงเรียนละ 2 ครั้ง)</t>
  </si>
  <si>
    <t>1.1 อบรมการจัดทำบัญชีกิจกรรมสหกรณ์นักเรียน/กิจกรรมผลิตทางการเกษตรเพื่ออาหารกลางวันแก่นักเรียน 60 โรงเรียน @ 5 คน  รวม 35 คน</t>
  </si>
  <si>
    <t xml:space="preserve"> - นักเรียน : บัญชีต้นกล้า  280 คน  โรงเรียนละ 40 คน</t>
  </si>
  <si>
    <t>1.3 กำกับแนะนำการจัดทำบัญชีรายบุคคล  350 คน  1 ครั้ง</t>
  </si>
  <si>
    <t xml:space="preserve"> - ผู้ปกครอง : บัญชีรับจ่ายในครัวเรือน/บัญชีต้นทุนอาชีพ  70 คน  โรงเรียนละ 10 คน</t>
  </si>
  <si>
    <t>1. โรงเรียนเฉลิมพระเกียรติ 60 พรรษา  7 โรงเรียน</t>
  </si>
  <si>
    <t>1.2 ประชุมครูบัญชีเยาวชน  โรงเรียนละ 2 คน   รวม 14 คน</t>
  </si>
  <si>
    <t>1.4 ติดตามผลการจัดทำบัญชี นักเรียน/ผู้ปกครอง  คนละ 1 ครั้ง</t>
  </si>
  <si>
    <t>1.5 ติดตามตรวจเยี่ยมโรงเรียน 7 โรงเรียนๆ ละ 2 ครั้ง</t>
  </si>
  <si>
    <t>2. โรงเรียนขยายผล 10 โรงเรียน</t>
  </si>
  <si>
    <t>2.1 อบรมการจัดทำบัญชีกิจกรรมสหกรณ์นักเรียน/กิจกรรมผลิตทางการเกษตรเพื่ออาหารกลางวันแก่นักเรียน 10 โรงเรียน @ 3-4 คน  รวม 40 คน</t>
  </si>
  <si>
    <t>2.3 สอนแนะนำการจัดทำบัญชีต้นกล้า  200 คน  โรงเรียนละ 20 คน</t>
  </si>
  <si>
    <t>2.2 ประชุมครูบัญชีเยาวชน  โรงเรียนละ 2 คน   รวม 20 คน</t>
  </si>
  <si>
    <t>2.4 ติดตามผลการจัดทำบัญชีต้นกล้า  คนละ 1 ครั้ง</t>
  </si>
  <si>
    <t>2.5 ติดตามตรวจเยี่ยมโรงเรียน 10 โรงเรียนๆ ละ 2 ครั้ง</t>
  </si>
  <si>
    <t>3. โรงเรียนตามโครงการ 43 โรงเรียน</t>
  </si>
  <si>
    <t>3.1 อบรมการจัดทำบัญชีกิจกรรมสหกรณ์นักเรียน/กิจกรรมผลิตทางการเกษตรเพื่ออาหารกลางวันแก่นักเรียน 43 โรงเรียน @ 3 - 4 คน รวม 169 คน</t>
  </si>
  <si>
    <t>3.2 ติดตามตรวจเยี่ยมโรงเรียน 43 โรงเรียนๆ ละ 2 ครั้ง</t>
  </si>
  <si>
    <t>ติดตามประเมินผลโครงการ  20% ของ 60 โรงเรียน</t>
  </si>
  <si>
    <t>โครงการพัฒนาพื้นที่ลุ่มน้ำปากพนัง   (PD - RD7)</t>
  </si>
  <si>
    <t>กิจกรรมสอนแนะ/อบรมการจัดทำบัญชีรับ-จ่ายในครัวเรือน/ต้นทุนอาชีพ/บัญชีต้นกล้า</t>
  </si>
  <si>
    <t>กิจกรรมติดตามการวิเคราะห์บัญชีต้นทุนอาชีพ</t>
  </si>
  <si>
    <t>การดำเนินการ</t>
  </si>
  <si>
    <t>สำรวจศักยภาพของเป้าหมายในพื้นที่ เพื่อจัดระดับความรู้ความสามารถ</t>
  </si>
  <si>
    <t>1. สอนแนะนำ/อบรมการจัดทำบัญชีรับ-จ่ายในครัวเรือน/ต้นทุนอาชีพ/บัญชีต้นกล้า  จำนวน  144 คน</t>
  </si>
  <si>
    <t>2. กำกับแนะนำการจัดทำบัญชี  โดยครูบัญชี  จำนวน 144 คน</t>
  </si>
  <si>
    <t>3. ติดตามการจัดทำบัญชี  โดยครูบัญชี  จำนวน 144 คน</t>
  </si>
  <si>
    <t>กลุ่มที่ 2  ทำบัญชีได้</t>
  </si>
  <si>
    <t>1. สอนแนะนำการวิเคราะห์บัญชีต้นทุนอาชีพ  จำนวน 29 คน</t>
  </si>
  <si>
    <t>2. ติดตามการจัดทำบัญชี  โดยครูบัญชี  จำนวน  29 คน</t>
  </si>
  <si>
    <t>ติดตามประเมินผลโครงการ  จำนวน 14 - 15 คน  (10% ของ  144 คน)</t>
  </si>
  <si>
    <t>โครงการศูนย์ศึกษาการพัฒนาพิกุลทอง   (PD - RD8)</t>
  </si>
  <si>
    <t>กิจกรรมสอนแนะนำ/อบรมการจัดทำบัญชีรับจ่ายในครัวเรือน/ต้นทุนอาชีพ/บัญชีต้นกล้า</t>
  </si>
  <si>
    <t>กิจกรรมติดตามวิเคราะห์บัญชีต้นทุนประกอบอาชีพ</t>
  </si>
  <si>
    <t>กลุ่มที่ 1  จัดทำบัญชีไม่ได้</t>
  </si>
  <si>
    <t>1. สอนแนะนำ/อบรมการจัดทำบัญชีรับ-จ่ายในครัวเรือน/ต้นทุนอาชีพ/บัญชีต้นกล้า  จำนวน 150 คน</t>
  </si>
  <si>
    <t>2. กำกับแนะนำการจัดทำบัญชี  โดยครูบัญชี  จำนวน  150 คน</t>
  </si>
  <si>
    <t>3. ติดตามการจัดทำบัญชี  โดยครูบัญชี  จำนวน 150 คน</t>
  </si>
  <si>
    <t>1. สอนแนะนำการวิเคราะห์บัญชีต้นทุนอาชีพ  จำนวน  30 คน  (20% ของกลุ่มเป้าหมายเดิม)</t>
  </si>
  <si>
    <t>2. ติดตามการจัดทำบัญชี  โดยครูบัญชี  จำนวน 30 คน</t>
  </si>
  <si>
    <t>ติดตามประเมินผลโครงการ  จำนวน  15 คน (10%  ของ 150 คน)</t>
  </si>
  <si>
    <t>โครงการพัฒนากลุ่มอาชีพประชาชน   (PD - RD12)</t>
  </si>
  <si>
    <t>มี.ค. 59</t>
  </si>
  <si>
    <t>แผน (กลุ่ม)</t>
  </si>
  <si>
    <t>ติดตามตรวจเยี่ยม @ 1 ครั้ง</t>
  </si>
  <si>
    <t>มิ.ย. 59</t>
  </si>
  <si>
    <t>กำหนดเป้าหมายกลุ่มอาชีพตามสถานการณ์ดำเนินธุรกิจ  โดย</t>
  </si>
  <si>
    <t>1. กลุ่มดำเนินธุรกิจ  ให้ดำเนินการ  10 กลุ่ม</t>
  </si>
  <si>
    <t xml:space="preserve">    - สอนแนะการจัดทำบัญชีแก่กลุ่มอาชีพ   กลุ่มละ 2 คน  (โดยเจ้าหน้าที่โครงการ  กลุ่มละ 4 ครั้ง)</t>
  </si>
  <si>
    <t>2. กลุ่มไม่ดำเนินธุรกิจ  ให้ดำเนินการ 2 กลุ่ม</t>
  </si>
  <si>
    <t xml:space="preserve">    - ให้เข้าติดตามตรวจเยี่ยมกลุ่มอาชีพที่ต้องดูแล  กลุ่มละ 1 ครั้ง</t>
  </si>
  <si>
    <t>ติดตามประเมินผลโครงการ   2 กลุ่ม  (20%  ของกลุ่มที่ดำเนินธุรกิจ)</t>
  </si>
  <si>
    <t xml:space="preserve">    (เป้าหมายปี 59 = 1,500 คน  และ ปี 58 = 602 คน) </t>
  </si>
  <si>
    <t xml:space="preserve">3. ติดตามการจัดทำบัญชี  โดยครูบัญชี  จำนวน 2,102 คน </t>
  </si>
  <si>
    <t>กลุ่มเก่า 421 คน  (602 x 70%)</t>
  </si>
  <si>
    <t>(กลุ่มเก่า 421 คน  กลุ่มใหม่ 600 คน)</t>
  </si>
  <si>
    <t>ติดตามประเมินผลโครงการ  จำนวน  511 คน (50% ของ 1,021 คน)</t>
  </si>
  <si>
    <t xml:space="preserve"> --&gt; ในระบบ  เกินมา 1 แห่ง (ดารุลมาอาเรฟมูลนิธิ*) - ไม่วางแผน</t>
  </si>
  <si>
    <t xml:space="preserve"> --&gt; ในระบบ  เกินมา 1 แห่ง  (ศกร.ตชด.บ้านภักดี ) - ไม่วางแผน</t>
  </si>
  <si>
    <t xml:space="preserve"> ** แผน ธ.ค. 58</t>
  </si>
  <si>
    <t>โครงการส่งเสริมการเรียนรู้ด้านบัญชีในพื้นที่ศูนย์เรียนรู้เศรษฐกิจพอเพียงชุมชน  (PD - RD11)</t>
  </si>
  <si>
    <t>กิจกรรมอบรม/สอนแนะการจัดทำบัญชี</t>
  </si>
  <si>
    <t>ติดตามประเมินผลโครงการ (สตท.)</t>
  </si>
  <si>
    <t>กำหนดเป้าหมายรายคนที่จะสอนแนะการจัดทำบัญชี โดย</t>
  </si>
  <si>
    <t>1. พื้นที่ศูนย์เรียนรู้เศรษฐกิจพอเพียง</t>
  </si>
  <si>
    <t>1.1 อบรม/สอนแนะนำการจัดทำบัญชี</t>
  </si>
  <si>
    <t xml:space="preserve"> - กรรมการกลุ่ม/ผู้ทำบัญชีกลุ่ม : บัญชีกลุ่มอาชีพ</t>
  </si>
  <si>
    <t xml:space="preserve"> - สมาชิก : บัญชีรับ-จ่ายในครัวเรือน</t>
  </si>
  <si>
    <t>1.2 กำกับแนะนำการจัดทำบัญชี  โดย สตส.</t>
  </si>
  <si>
    <t>2. พื้นที่โครงการบูรณาการตามพระราชดำริ</t>
  </si>
  <si>
    <t>2.1 อบรมสอนแนะการจัดทำบัญชี</t>
  </si>
  <si>
    <t xml:space="preserve"> - เกษตรกร : บัญชีรับ - จ่ายในครัวเรือน</t>
  </si>
  <si>
    <t xml:space="preserve"> - นักเรียน : บัญชีต้นกล้า</t>
  </si>
  <si>
    <t>2.2 กำกับแนะนำการจัดทำบัญชี  โดยครูบัญชี</t>
  </si>
  <si>
    <t>2.3 ติดตามการจัดทำบัญชี โดยครูบัญชี</t>
  </si>
  <si>
    <t>ติดตามประเมินผลโครงการ  จำนวน  7 คน (10%  ของ 64 คน)</t>
  </si>
  <si>
    <t xml:space="preserve"> ** ตรัง และ สตูล ได้รับเป้าหมายเพิ่มมา จังหวัดละ 32 คน</t>
  </si>
  <si>
    <t xml:space="preserve">      (ตามหนังสือที่ กษ0417/289  ลงวันที่ 20 พ.ย. 58  -- จากกองประสานงานโครงการพระราชดำริ)</t>
  </si>
  <si>
    <t>โครงการพัฒนาภูมิปัญญาทางบัญชีสู่บัญชีต้นทุนอาชีพ (PD-RD1)</t>
  </si>
  <si>
    <t>โครงการโครงการสร้างความยั่งยืนในการทำบัญชีต้นทุนอาชีพ (PD - RD3)</t>
  </si>
  <si>
    <t>รายละเอียดแผนการปฏิบัติงานและความก้าวหน้าผลการปฏิบัติงาน ณ วันที่  31  มกราคม 2559</t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</si>
</sst>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87" formatCode="_(* #,##0.00_);_(* \(#,##0.00\);_(* &quot;-&quot;??_);_(@_)"/>
    <numFmt numFmtId="188" formatCode="_(* #,##0.00_);_(* \(#,##0.00\);_(* &quot;-&quot;_);_(@_)"/>
    <numFmt numFmtId="189" formatCode="#,##0_ ;\-#,##0\ "/>
    <numFmt numFmtId="190" formatCode="#,##0.00_ ;\-#,##0.00\ "/>
    <numFmt numFmtId="191" formatCode="0_ ;\-0\ "/>
  </numFmts>
  <fonts count="60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8"/>
      <name val="Arial"/>
      <family val="2"/>
    </font>
    <font>
      <b/>
      <sz val="11"/>
      <color rgb="FF0000FF"/>
      <name val="Tahoma"/>
      <family val="2"/>
    </font>
    <font>
      <sz val="11"/>
      <color rgb="FF0000FF"/>
      <name val="Tahoma"/>
      <family val="2"/>
    </font>
    <font>
      <b/>
      <sz val="11"/>
      <color rgb="FFFF0000"/>
      <name val="Tahoma"/>
      <family val="2"/>
    </font>
    <font>
      <sz val="11"/>
      <color theme="0"/>
      <name val="Tahoma"/>
      <family val="2"/>
      <charset val="222"/>
      <scheme val="minor"/>
    </font>
    <font>
      <b/>
      <i/>
      <u/>
      <sz val="11"/>
      <color rgb="FF0000FF"/>
      <name val="Tahoma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u/>
      <sz val="11"/>
      <color rgb="FF0000FF"/>
      <name val="Tahoma"/>
      <family val="2"/>
    </font>
    <font>
      <b/>
      <u/>
      <sz val="10"/>
      <name val="Tahoma"/>
      <family val="2"/>
    </font>
    <font>
      <b/>
      <sz val="10"/>
      <color rgb="FFC00000"/>
      <name val="Tahoma"/>
      <family val="2"/>
    </font>
    <font>
      <b/>
      <u/>
      <sz val="11"/>
      <name val="Tahoma"/>
      <family val="2"/>
    </font>
    <font>
      <b/>
      <sz val="11"/>
      <color theme="2" tint="-0.749992370372631"/>
      <name val="Tahoma"/>
      <family val="2"/>
    </font>
    <font>
      <b/>
      <sz val="11"/>
      <color indexed="20"/>
      <name val="Tahoma"/>
      <family val="2"/>
    </font>
    <font>
      <b/>
      <sz val="11"/>
      <color theme="1"/>
      <name val="Tahoma"/>
      <family val="2"/>
    </font>
    <font>
      <b/>
      <sz val="11"/>
      <color indexed="12"/>
      <name val="Tahoma"/>
      <family val="2"/>
    </font>
    <font>
      <b/>
      <u/>
      <sz val="11"/>
      <color rgb="FFC00000"/>
      <name val="Tahoma"/>
      <family val="2"/>
    </font>
    <font>
      <b/>
      <sz val="10"/>
      <color rgb="FFFF0000"/>
      <name val="Tahoma"/>
      <family val="2"/>
    </font>
    <font>
      <b/>
      <sz val="11"/>
      <color indexed="17"/>
      <name val="Tahoma"/>
      <family val="2"/>
    </font>
    <font>
      <b/>
      <strike/>
      <sz val="11"/>
      <color indexed="57"/>
      <name val="Tahoma"/>
      <family val="2"/>
    </font>
    <font>
      <b/>
      <sz val="11"/>
      <color indexed="57"/>
      <name val="Tahoma"/>
      <family val="2"/>
    </font>
    <font>
      <b/>
      <sz val="11"/>
      <color indexed="62"/>
      <name val="Tahoma"/>
      <family val="2"/>
    </font>
    <font>
      <sz val="11"/>
      <color indexed="57"/>
      <name val="Tahoma"/>
      <family val="2"/>
    </font>
    <font>
      <b/>
      <sz val="10"/>
      <color indexed="17"/>
      <name val="Tahoma"/>
      <family val="2"/>
    </font>
    <font>
      <b/>
      <strike/>
      <sz val="10"/>
      <color indexed="57"/>
      <name val="Tahoma"/>
      <family val="2"/>
    </font>
    <font>
      <b/>
      <sz val="10"/>
      <color indexed="12"/>
      <name val="Tahoma"/>
      <family val="2"/>
    </font>
    <font>
      <b/>
      <sz val="10"/>
      <color indexed="57"/>
      <name val="Tahoma"/>
      <family val="2"/>
    </font>
    <font>
      <b/>
      <sz val="10"/>
      <color indexed="10"/>
      <name val="Tahoma"/>
      <family val="2"/>
    </font>
    <font>
      <sz val="10"/>
      <color indexed="57"/>
      <name val="Tahoma"/>
      <family val="2"/>
    </font>
    <font>
      <b/>
      <sz val="9"/>
      <name val="Tahoma"/>
      <family val="2"/>
    </font>
    <font>
      <b/>
      <sz val="9"/>
      <color rgb="FFFF0000"/>
      <name val="Tahoma"/>
      <family val="2"/>
    </font>
    <font>
      <sz val="9"/>
      <name val="Tahoma"/>
      <family val="2"/>
    </font>
    <font>
      <b/>
      <u/>
      <sz val="9"/>
      <name val="Tahoma"/>
      <family val="2"/>
    </font>
    <font>
      <b/>
      <sz val="9"/>
      <color rgb="FF0000FF"/>
      <name val="Tahoma"/>
      <family val="2"/>
    </font>
    <font>
      <b/>
      <sz val="11"/>
      <color rgb="FFFF3300"/>
      <name val="Tahoma"/>
      <family val="2"/>
    </font>
    <font>
      <b/>
      <u/>
      <sz val="12"/>
      <name val="Tahoma"/>
      <family val="2"/>
    </font>
    <font>
      <sz val="11"/>
      <color rgb="FFFF3300"/>
      <name val="Tahoma"/>
      <family val="2"/>
    </font>
    <font>
      <b/>
      <sz val="12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sz val="22"/>
      <color rgb="FFFF0000"/>
      <name val="Tahoma"/>
      <family val="2"/>
    </font>
    <font>
      <sz val="11"/>
      <color rgb="FFC00000"/>
      <name val="Tahoma"/>
      <family val="2"/>
    </font>
    <font>
      <u/>
      <sz val="11"/>
      <color rgb="FFC00000"/>
      <name val="Tahoma"/>
      <family val="2"/>
    </font>
    <font>
      <sz val="12"/>
      <name val="Tahoma"/>
      <family val="2"/>
    </font>
    <font>
      <sz val="12"/>
      <color theme="1"/>
      <name val="Tahoma"/>
      <family val="2"/>
    </font>
    <font>
      <b/>
      <u/>
      <sz val="10"/>
      <color rgb="FFC00000"/>
      <name val="Tahoma"/>
      <family val="2"/>
    </font>
    <font>
      <sz val="10"/>
      <color rgb="FFC00000"/>
      <name val="Tahoma"/>
      <family val="2"/>
    </font>
    <font>
      <u/>
      <sz val="10"/>
      <color rgb="FFC00000"/>
      <name val="Tahoma"/>
      <family val="2"/>
    </font>
    <font>
      <b/>
      <i/>
      <u/>
      <sz val="12"/>
      <name val="Tahoma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35"/>
      </patternFill>
    </fill>
    <fill>
      <patternFill patternType="gray0625">
        <fgColor indexed="15"/>
      </patternFill>
    </fill>
    <fill>
      <patternFill patternType="gray0625">
        <fgColor indexed="29"/>
      </patternFill>
    </fill>
    <fill>
      <patternFill patternType="solid">
        <fgColor indexed="2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</patternFill>
    </fill>
    <fill>
      <patternFill patternType="gray0625">
        <fgColor indexed="29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rgb="FFFF0000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indexed="35"/>
        <bgColor indexed="9"/>
      </patternFill>
    </fill>
    <fill>
      <patternFill patternType="gray0625">
        <fgColor indexed="35"/>
        <bgColor theme="0"/>
      </patternFill>
    </fill>
    <fill>
      <patternFill patternType="solid">
        <fgColor theme="2" tint="-0.249977111117893"/>
        <bgColor auto="1"/>
      </patternFill>
    </fill>
    <fill>
      <patternFill patternType="solid">
        <fgColor rgb="FFFFFF99"/>
        <bgColor indexed="64"/>
      </patternFill>
    </fill>
    <fill>
      <patternFill patternType="gray0625">
        <fgColor indexed="35"/>
        <bgColor rgb="FFFFFF99"/>
      </patternFill>
    </fill>
    <fill>
      <patternFill patternType="solid">
        <fgColor rgb="FFFFFF99"/>
        <bgColor auto="1"/>
      </patternFill>
    </fill>
    <fill>
      <patternFill patternType="solid">
        <fgColor theme="2" tint="-9.9948118533890809E-2"/>
        <bgColor indexed="64"/>
      </patternFill>
    </fill>
    <fill>
      <patternFill patternType="gray0625">
        <fgColor rgb="FFFF0000"/>
        <bgColor rgb="FFFFFF99"/>
      </patternFill>
    </fill>
    <fill>
      <patternFill patternType="solid">
        <fgColor theme="2"/>
        <bgColor indexed="64"/>
      </patternFill>
    </fill>
    <fill>
      <patternFill patternType="gray0625">
        <fgColor indexed="35"/>
        <bgColor theme="2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0"/>
      </left>
      <right/>
      <top style="mediumDashDotDot">
        <color indexed="60"/>
      </top>
      <bottom/>
      <diagonal/>
    </border>
    <border>
      <left/>
      <right/>
      <top style="mediumDashDotDot">
        <color indexed="60"/>
      </top>
      <bottom/>
      <diagonal/>
    </border>
    <border>
      <left style="mediumDashDotDot">
        <color indexed="60"/>
      </left>
      <right/>
      <top/>
      <bottom/>
      <diagonal/>
    </border>
    <border>
      <left style="mediumDashDotDot">
        <color indexed="60"/>
      </left>
      <right/>
      <top/>
      <bottom style="mediumDashDotDot">
        <color indexed="60"/>
      </bottom>
      <diagonal/>
    </border>
    <border>
      <left/>
      <right/>
      <top/>
      <bottom style="mediumDashDotDot">
        <color indexed="6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DashDotDot">
        <color rgb="FFC00000"/>
      </right>
      <top/>
      <bottom/>
      <diagonal/>
    </border>
    <border>
      <left style="mediumDashDotDot">
        <color rgb="FFC00000"/>
      </left>
      <right/>
      <top style="mediumDashDotDot">
        <color rgb="FFC00000"/>
      </top>
      <bottom/>
      <diagonal/>
    </border>
    <border>
      <left/>
      <right/>
      <top style="mediumDashDotDot">
        <color rgb="FFC00000"/>
      </top>
      <bottom/>
      <diagonal/>
    </border>
    <border>
      <left/>
      <right style="mediumDashDotDot">
        <color rgb="FFC00000"/>
      </right>
      <top style="mediumDashDotDot">
        <color rgb="FFC00000"/>
      </top>
      <bottom/>
      <diagonal/>
    </border>
    <border>
      <left style="mediumDashDotDot">
        <color rgb="FFC00000"/>
      </left>
      <right/>
      <top/>
      <bottom/>
      <diagonal/>
    </border>
    <border>
      <left style="mediumDashDotDot">
        <color rgb="FFC00000"/>
      </left>
      <right/>
      <top/>
      <bottom style="mediumDashDotDot">
        <color rgb="FFC00000"/>
      </bottom>
      <diagonal/>
    </border>
    <border>
      <left/>
      <right/>
      <top/>
      <bottom style="mediumDashDotDot">
        <color rgb="FFC00000"/>
      </bottom>
      <diagonal/>
    </border>
    <border>
      <left/>
      <right style="mediumDashDotDot">
        <color rgb="FFC00000"/>
      </right>
      <top/>
      <bottom style="mediumDashDotDot">
        <color rgb="FFC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DashDotDot">
        <color indexed="60"/>
      </right>
      <top/>
      <bottom/>
      <diagonal/>
    </border>
    <border>
      <left/>
      <right style="mediumDashDotDot">
        <color indexed="60"/>
      </right>
      <top style="mediumDashDotDot">
        <color indexed="60"/>
      </top>
      <bottom/>
      <diagonal/>
    </border>
    <border>
      <left/>
      <right style="mediumDashDotDot">
        <color indexed="60"/>
      </right>
      <top/>
      <bottom style="mediumDashDotDot">
        <color indexed="60"/>
      </bottom>
      <diagonal/>
    </border>
    <border>
      <left/>
      <right/>
      <top style="hair">
        <color indexed="60"/>
      </top>
      <bottom/>
      <diagonal/>
    </border>
    <border>
      <left/>
      <right style="mediumDashDotDot">
        <color indexed="60"/>
      </right>
      <top style="hair">
        <color indexed="60"/>
      </top>
      <bottom/>
      <diagonal/>
    </border>
    <border>
      <left/>
      <right/>
      <top/>
      <bottom style="hair">
        <color indexed="60"/>
      </bottom>
      <diagonal/>
    </border>
    <border>
      <left/>
      <right style="mediumDashDotDot">
        <color indexed="60"/>
      </right>
      <top/>
      <bottom style="hair">
        <color indexed="6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/>
      <right/>
      <top/>
      <bottom style="hair">
        <color rgb="FFC00000"/>
      </bottom>
      <diagonal/>
    </border>
    <border>
      <left/>
      <right style="mediumDashDotDot">
        <color rgb="FFC00000"/>
      </right>
      <top style="hair">
        <color rgb="FFC00000"/>
      </top>
      <bottom/>
      <diagonal/>
    </border>
    <border>
      <left/>
      <right style="mediumDashDotDot">
        <color rgb="FFC00000"/>
      </right>
      <top/>
      <bottom style="hair">
        <color rgb="FFC00000"/>
      </bottom>
      <diagonal/>
    </border>
    <border>
      <left/>
      <right style="mediumDashDotDot">
        <color rgb="FFC00000"/>
      </right>
      <top style="hair">
        <color rgb="FFC00000"/>
      </top>
      <bottom style="hair">
        <color rgb="FFC00000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13" fillId="10" borderId="0" applyNumberFormat="0" applyBorder="0" applyAlignment="0" applyProtection="0"/>
  </cellStyleXfs>
  <cellXfs count="730">
    <xf numFmtId="0" fontId="0" fillId="0" borderId="0" xfId="0"/>
    <xf numFmtId="1" fontId="2" fillId="5" borderId="7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3" fontId="4" fillId="7" borderId="4" xfId="0" applyNumberFormat="1" applyFont="1" applyFill="1" applyBorder="1" applyAlignment="1">
      <alignment horizontal="center"/>
    </xf>
    <xf numFmtId="3" fontId="4" fillId="7" borderId="5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3" fontId="4" fillId="7" borderId="6" xfId="0" applyNumberFormat="1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/>
    </xf>
    <xf numFmtId="1" fontId="4" fillId="7" borderId="28" xfId="0" applyNumberFormat="1" applyFont="1" applyFill="1" applyBorder="1" applyAlignment="1">
      <alignment horizontal="center"/>
    </xf>
    <xf numFmtId="3" fontId="7" fillId="5" borderId="7" xfId="0" applyNumberFormat="1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3" fontId="7" fillId="5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7" borderId="7" xfId="0" applyNumberFormat="1" applyFont="1" applyFill="1" applyBorder="1" applyAlignment="1">
      <alignment horizontal="center"/>
    </xf>
    <xf numFmtId="1" fontId="5" fillId="5" borderId="5" xfId="0" applyNumberFormat="1" applyFont="1" applyFill="1" applyBorder="1" applyAlignment="1">
      <alignment horizontal="center"/>
    </xf>
    <xf numFmtId="1" fontId="7" fillId="5" borderId="7" xfId="0" applyNumberFormat="1" applyFont="1" applyFill="1" applyBorder="1" applyAlignment="1">
      <alignment horizontal="center"/>
    </xf>
    <xf numFmtId="1" fontId="4" fillId="5" borderId="25" xfId="0" applyNumberFormat="1" applyFont="1" applyFill="1" applyBorder="1" applyAlignment="1">
      <alignment horizont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11" borderId="5" xfId="0" applyNumberFormat="1" applyFont="1" applyFill="1" applyBorder="1" applyAlignment="1">
      <alignment horizontal="right" vertical="center"/>
    </xf>
    <xf numFmtId="189" fontId="4" fillId="6" borderId="5" xfId="0" applyNumberFormat="1" applyFont="1" applyFill="1" applyBorder="1" applyAlignment="1">
      <alignment horizontal="right" vertical="center"/>
    </xf>
    <xf numFmtId="189" fontId="7" fillId="6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/>
    </xf>
    <xf numFmtId="3" fontId="4" fillId="7" borderId="29" xfId="0" applyNumberFormat="1" applyFont="1" applyFill="1" applyBorder="1" applyAlignment="1">
      <alignment horizontal="center"/>
    </xf>
    <xf numFmtId="1" fontId="4" fillId="5" borderId="42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7" fillId="0" borderId="3" xfId="0" applyFont="1" applyBorder="1"/>
    <xf numFmtId="1" fontId="7" fillId="5" borderId="5" xfId="0" applyNumberFormat="1" applyFont="1" applyFill="1" applyBorder="1" applyAlignment="1">
      <alignment horizontal="center"/>
    </xf>
    <xf numFmtId="1" fontId="7" fillId="5" borderId="6" xfId="0" applyNumberFormat="1" applyFont="1" applyFill="1" applyBorder="1" applyAlignment="1">
      <alignment horizontal="center"/>
    </xf>
    <xf numFmtId="1" fontId="7" fillId="5" borderId="3" xfId="0" applyNumberFormat="1" applyFont="1" applyFill="1" applyBorder="1" applyAlignment="1">
      <alignment horizontal="center"/>
    </xf>
    <xf numFmtId="0" fontId="7" fillId="0" borderId="0" xfId="0" applyFont="1" applyBorder="1"/>
    <xf numFmtId="0" fontId="10" fillId="0" borderId="36" xfId="0" applyFont="1" applyBorder="1"/>
    <xf numFmtId="0" fontId="4" fillId="0" borderId="36" xfId="0" applyFont="1" applyBorder="1"/>
    <xf numFmtId="0" fontId="10" fillId="0" borderId="0" xfId="0" applyFont="1" applyBorder="1"/>
    <xf numFmtId="0" fontId="4" fillId="0" borderId="0" xfId="0" applyFont="1" applyBorder="1"/>
    <xf numFmtId="0" fontId="3" fillId="0" borderId="0" xfId="0" applyFont="1"/>
    <xf numFmtId="0" fontId="4" fillId="0" borderId="0" xfId="0" applyFont="1"/>
    <xf numFmtId="0" fontId="16" fillId="0" borderId="0" xfId="0" applyFont="1" applyBorder="1"/>
    <xf numFmtId="0" fontId="16" fillId="0" borderId="39" xfId="0" applyFont="1" applyBorder="1"/>
    <xf numFmtId="0" fontId="4" fillId="0" borderId="40" xfId="0" applyFont="1" applyBorder="1"/>
    <xf numFmtId="0" fontId="20" fillId="0" borderId="0" xfId="0" applyFont="1" applyAlignment="1">
      <alignment horizontal="center"/>
    </xf>
    <xf numFmtId="0" fontId="7" fillId="0" borderId="0" xfId="0" applyFont="1"/>
    <xf numFmtId="0" fontId="21" fillId="0" borderId="0" xfId="0" applyFont="1" applyBorder="1"/>
    <xf numFmtId="0" fontId="20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22" fillId="0" borderId="0" xfId="0" applyFont="1" applyFill="1"/>
    <xf numFmtId="189" fontId="4" fillId="6" borderId="5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7" borderId="4" xfId="0" applyNumberFormat="1" applyFont="1" applyFill="1" applyBorder="1" applyAlignment="1">
      <alignment horizontal="center" vertical="center"/>
    </xf>
    <xf numFmtId="189" fontId="4" fillId="6" borderId="4" xfId="0" applyNumberFormat="1" applyFont="1" applyFill="1" applyBorder="1" applyAlignment="1">
      <alignment horizontal="center" vertical="center"/>
    </xf>
    <xf numFmtId="189" fontId="7" fillId="6" borderId="4" xfId="0" applyNumberFormat="1" applyFont="1" applyFill="1" applyBorder="1" applyAlignment="1">
      <alignment horizontal="center" vertical="center"/>
    </xf>
    <xf numFmtId="1" fontId="14" fillId="0" borderId="4" xfId="0" applyNumberFormat="1" applyFont="1" applyFill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" fontId="4" fillId="0" borderId="45" xfId="0" applyNumberFormat="1" applyFont="1" applyFill="1" applyBorder="1" applyAlignment="1">
      <alignment horizontal="center" vertical="center"/>
    </xf>
    <xf numFmtId="1" fontId="4" fillId="5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4" fillId="0" borderId="38" xfId="0" applyFont="1" applyBorder="1"/>
    <xf numFmtId="3" fontId="7" fillId="15" borderId="7" xfId="0" applyNumberFormat="1" applyFont="1" applyFill="1" applyBorder="1" applyAlignment="1">
      <alignment horizontal="center"/>
    </xf>
    <xf numFmtId="1" fontId="7" fillId="15" borderId="7" xfId="0" applyNumberFormat="1" applyFont="1" applyFill="1" applyBorder="1" applyAlignment="1">
      <alignment horizontal="center"/>
    </xf>
    <xf numFmtId="0" fontId="12" fillId="0" borderId="0" xfId="0" applyFont="1"/>
    <xf numFmtId="0" fontId="2" fillId="0" borderId="0" xfId="0" applyFont="1"/>
    <xf numFmtId="0" fontId="20" fillId="0" borderId="0" xfId="0" applyFont="1"/>
    <xf numFmtId="0" fontId="4" fillId="0" borderId="0" xfId="0" applyFont="1" applyFill="1"/>
    <xf numFmtId="0" fontId="16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26" fillId="0" borderId="0" xfId="0" applyFont="1"/>
    <xf numFmtId="1" fontId="3" fillId="0" borderId="5" xfId="0" applyNumberFormat="1" applyFont="1" applyFill="1" applyBorder="1" applyAlignment="1">
      <alignment horizontal="center"/>
    </xf>
    <xf numFmtId="0" fontId="2" fillId="16" borderId="46" xfId="0" applyFont="1" applyFill="1" applyBorder="1" applyAlignment="1">
      <alignment horizontal="center"/>
    </xf>
    <xf numFmtId="2" fontId="2" fillId="16" borderId="46" xfId="0" applyNumberFormat="1" applyFont="1" applyFill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16" borderId="4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/>
    <xf numFmtId="0" fontId="7" fillId="3" borderId="3" xfId="0" applyFont="1" applyFill="1" applyBorder="1" applyAlignment="1">
      <alignment horizontal="center" vertical="center"/>
    </xf>
    <xf numFmtId="0" fontId="7" fillId="0" borderId="4" xfId="0" applyFont="1" applyBorder="1"/>
    <xf numFmtId="0" fontId="27" fillId="0" borderId="0" xfId="0" applyFont="1"/>
    <xf numFmtId="0" fontId="7" fillId="0" borderId="6" xfId="0" applyFont="1" applyBorder="1"/>
    <xf numFmtId="0" fontId="28" fillId="0" borderId="0" xfId="0" applyFont="1"/>
    <xf numFmtId="0" fontId="29" fillId="0" borderId="0" xfId="0" applyFont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Fill="1"/>
    <xf numFmtId="0" fontId="29" fillId="0" borderId="0" xfId="0" applyFont="1" applyFill="1"/>
    <xf numFmtId="0" fontId="2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31" fillId="0" borderId="0" xfId="0" applyFont="1" applyFill="1"/>
    <xf numFmtId="0" fontId="24" fillId="0" borderId="0" xfId="0" applyFont="1" applyFill="1"/>
    <xf numFmtId="0" fontId="4" fillId="0" borderId="0" xfId="0" applyFont="1" applyFill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16" borderId="12" xfId="0" applyFont="1" applyFill="1" applyBorder="1"/>
    <xf numFmtId="41" fontId="7" fillId="16" borderId="3" xfId="0" applyNumberFormat="1" applyFont="1" applyFill="1" applyBorder="1" applyAlignment="1">
      <alignment horizontal="center" vertical="center"/>
    </xf>
    <xf numFmtId="189" fontId="7" fillId="16" borderId="3" xfId="0" applyNumberFormat="1" applyFont="1" applyFill="1" applyBorder="1" applyAlignment="1">
      <alignment horizontal="center" vertical="center"/>
    </xf>
    <xf numFmtId="41" fontId="4" fillId="0" borderId="0" xfId="0" applyNumberFormat="1" applyFont="1"/>
    <xf numFmtId="0" fontId="7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/>
    <xf numFmtId="0" fontId="4" fillId="0" borderId="5" xfId="0" applyFont="1" applyFill="1" applyBorder="1" applyAlignment="1">
      <alignment horizontal="center"/>
    </xf>
    <xf numFmtId="0" fontId="27" fillId="0" borderId="0" xfId="0" applyFont="1" applyBorder="1"/>
    <xf numFmtId="0" fontId="4" fillId="14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20" fillId="0" borderId="0" xfId="0" applyFont="1" applyBorder="1" applyAlignment="1">
      <alignment horizontal="center"/>
    </xf>
    <xf numFmtId="0" fontId="7" fillId="9" borderId="7" xfId="0" applyFont="1" applyFill="1" applyBorder="1"/>
    <xf numFmtId="1" fontId="4" fillId="5" borderId="4" xfId="0" applyNumberFormat="1" applyFont="1" applyFill="1" applyBorder="1" applyAlignment="1">
      <alignment horizontal="center"/>
    </xf>
    <xf numFmtId="1" fontId="4" fillId="5" borderId="16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21" borderId="0" xfId="0" applyFont="1" applyFill="1"/>
    <xf numFmtId="1" fontId="7" fillId="5" borderId="13" xfId="0" applyNumberFormat="1" applyFont="1" applyFill="1" applyBorder="1" applyAlignment="1">
      <alignment horizontal="center"/>
    </xf>
    <xf numFmtId="0" fontId="2" fillId="9" borderId="14" xfId="0" applyFont="1" applyFill="1" applyBorder="1"/>
    <xf numFmtId="1" fontId="7" fillId="0" borderId="7" xfId="0" applyNumberFormat="1" applyFont="1" applyFill="1" applyBorder="1" applyAlignment="1">
      <alignment horizontal="center"/>
    </xf>
    <xf numFmtId="1" fontId="7" fillId="7" borderId="7" xfId="0" applyNumberFormat="1" applyFont="1" applyFill="1" applyBorder="1" applyAlignment="1">
      <alignment horizontal="center"/>
    </xf>
    <xf numFmtId="0" fontId="18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/>
    <xf numFmtId="3" fontId="2" fillId="5" borderId="5" xfId="0" applyNumberFormat="1" applyFont="1" applyFill="1" applyBorder="1" applyAlignment="1">
      <alignment horizontal="center"/>
    </xf>
    <xf numFmtId="1" fontId="3" fillId="5" borderId="25" xfId="0" applyNumberFormat="1" applyFont="1" applyFill="1" applyBorder="1" applyAlignment="1">
      <alignment horizontal="center"/>
    </xf>
    <xf numFmtId="3" fontId="3" fillId="7" borderId="28" xfId="0" applyNumberFormat="1" applyFont="1" applyFill="1" applyBorder="1" applyAlignment="1">
      <alignment horizontal="center"/>
    </xf>
    <xf numFmtId="3" fontId="3" fillId="7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1" fontId="3" fillId="0" borderId="11" xfId="0" applyNumberFormat="1" applyFon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/>
    </xf>
    <xf numFmtId="1" fontId="3" fillId="5" borderId="30" xfId="0" applyNumberFormat="1" applyFont="1" applyFill="1" applyBorder="1" applyAlignment="1">
      <alignment horizontal="center"/>
    </xf>
    <xf numFmtId="3" fontId="3" fillId="7" borderId="33" xfId="0" applyNumberFormat="1" applyFont="1" applyFill="1" applyBorder="1" applyAlignment="1">
      <alignment horizontal="center"/>
    </xf>
    <xf numFmtId="3" fontId="3" fillId="7" borderId="5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/>
    <xf numFmtId="3" fontId="2" fillId="5" borderId="6" xfId="0" applyNumberFormat="1" applyFont="1" applyFill="1" applyBorder="1" applyAlignment="1">
      <alignment horizontal="center"/>
    </xf>
    <xf numFmtId="3" fontId="3" fillId="7" borderId="6" xfId="0" applyNumberFormat="1" applyFont="1" applyFill="1" applyBorder="1" applyAlignment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2" fillId="0" borderId="0" xfId="0" applyFont="1"/>
    <xf numFmtId="0" fontId="2" fillId="0" borderId="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3" fillId="0" borderId="0" xfId="0" applyFont="1"/>
    <xf numFmtId="0" fontId="34" fillId="0" borderId="0" xfId="0" applyFont="1" applyAlignment="1">
      <alignment vertical="center"/>
    </xf>
    <xf numFmtId="0" fontId="35" fillId="0" borderId="0" xfId="0" applyFont="1" applyFill="1"/>
    <xf numFmtId="0" fontId="36" fillId="0" borderId="0" xfId="0" applyFont="1" applyFill="1" applyAlignment="1">
      <alignment horizontal="right"/>
    </xf>
    <xf numFmtId="0" fontId="37" fillId="0" borderId="0" xfId="0" applyFont="1" applyFill="1"/>
    <xf numFmtId="0" fontId="34" fillId="0" borderId="0" xfId="0" applyFont="1" applyFill="1"/>
    <xf numFmtId="0" fontId="7" fillId="0" borderId="19" xfId="0" applyFont="1" applyBorder="1"/>
    <xf numFmtId="0" fontId="7" fillId="13" borderId="7" xfId="0" applyFont="1" applyFill="1" applyBorder="1"/>
    <xf numFmtId="49" fontId="7" fillId="13" borderId="7" xfId="0" applyNumberFormat="1" applyFont="1" applyFill="1" applyBorder="1"/>
    <xf numFmtId="0" fontId="38" fillId="0" borderId="0" xfId="0" applyFont="1"/>
    <xf numFmtId="0" fontId="39" fillId="0" borderId="0" xfId="0" applyFont="1"/>
    <xf numFmtId="0" fontId="40" fillId="0" borderId="0" xfId="0" applyFont="1" applyBorder="1"/>
    <xf numFmtId="0" fontId="40" fillId="0" borderId="0" xfId="0" applyFont="1"/>
    <xf numFmtId="0" fontId="38" fillId="0" borderId="0" xfId="0" applyFont="1" applyFill="1"/>
    <xf numFmtId="0" fontId="40" fillId="0" borderId="0" xfId="0" applyFont="1" applyFill="1"/>
    <xf numFmtId="0" fontId="41" fillId="0" borderId="0" xfId="0" applyFont="1"/>
    <xf numFmtId="0" fontId="42" fillId="0" borderId="0" xfId="0" applyFont="1"/>
    <xf numFmtId="0" fontId="7" fillId="3" borderId="13" xfId="0" applyFont="1" applyFill="1" applyBorder="1" applyAlignment="1">
      <alignment horizontal="center"/>
    </xf>
    <xf numFmtId="191" fontId="7" fillId="13" borderId="7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" fontId="4" fillId="0" borderId="3" xfId="0" applyNumberFormat="1" applyFont="1" applyFill="1" applyBorder="1" applyAlignment="1">
      <alignment horizontal="center"/>
    </xf>
    <xf numFmtId="1" fontId="4" fillId="7" borderId="12" xfId="0" applyNumberFormat="1" applyFont="1" applyFill="1" applyBorder="1" applyAlignment="1">
      <alignment horizontal="center"/>
    </xf>
    <xf numFmtId="1" fontId="4" fillId="5" borderId="13" xfId="0" applyNumberFormat="1" applyFont="1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1" fontId="7" fillId="16" borderId="46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7" fillId="5" borderId="4" xfId="0" applyNumberFormat="1" applyFont="1" applyFill="1" applyBorder="1" applyAlignment="1">
      <alignment horizontal="center"/>
    </xf>
    <xf numFmtId="1" fontId="4" fillId="7" borderId="27" xfId="0" applyNumberFormat="1" applyFont="1" applyFill="1" applyBorder="1" applyAlignment="1">
      <alignment horizontal="center"/>
    </xf>
    <xf numFmtId="0" fontId="27" fillId="0" borderId="0" xfId="0" applyFont="1" applyFill="1"/>
    <xf numFmtId="0" fontId="7" fillId="0" borderId="7" xfId="0" applyFont="1" applyBorder="1" applyAlignment="1">
      <alignment horizontal="center"/>
    </xf>
    <xf numFmtId="0" fontId="4" fillId="0" borderId="15" xfId="0" applyFont="1" applyFill="1" applyBorder="1"/>
    <xf numFmtId="0" fontId="7" fillId="0" borderId="15" xfId="0" applyFont="1" applyFill="1" applyBorder="1" applyAlignment="1"/>
    <xf numFmtId="1" fontId="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right"/>
    </xf>
    <xf numFmtId="1" fontId="3" fillId="0" borderId="6" xfId="0" applyNumberFormat="1" applyFont="1" applyFill="1" applyBorder="1" applyAlignment="1">
      <alignment horizontal="center"/>
    </xf>
    <xf numFmtId="0" fontId="24" fillId="0" borderId="0" xfId="0" applyFont="1" applyBorder="1"/>
    <xf numFmtId="0" fontId="16" fillId="0" borderId="38" xfId="0" applyFont="1" applyBorder="1"/>
    <xf numFmtId="1" fontId="2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16" fillId="0" borderId="0" xfId="0" applyFont="1" applyBorder="1" applyAlignment="1"/>
    <xf numFmtId="1" fontId="4" fillId="0" borderId="0" xfId="0" applyNumberFormat="1" applyFont="1" applyFill="1" applyAlignment="1">
      <alignment vertical="center"/>
    </xf>
    <xf numFmtId="41" fontId="12" fillId="0" borderId="5" xfId="0" applyNumberFormat="1" applyFont="1" applyFill="1" applyBorder="1" applyAlignment="1">
      <alignment horizontal="center" vertical="center"/>
    </xf>
    <xf numFmtId="17" fontId="4" fillId="0" borderId="3" xfId="0" applyNumberFormat="1" applyFont="1" applyFill="1" applyBorder="1" applyAlignment="1">
      <alignment horizontal="center" wrapText="1"/>
    </xf>
    <xf numFmtId="17" fontId="4" fillId="0" borderId="5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/>
    </xf>
    <xf numFmtId="17" fontId="4" fillId="0" borderId="5" xfId="0" applyNumberFormat="1" applyFont="1" applyBorder="1" applyAlignment="1">
      <alignment horizontal="center"/>
    </xf>
    <xf numFmtId="17" fontId="4" fillId="14" borderId="5" xfId="0" applyNumberFormat="1" applyFont="1" applyFill="1" applyBorder="1" applyAlignment="1">
      <alignment horizontal="center"/>
    </xf>
    <xf numFmtId="17" fontId="4" fillId="14" borderId="6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12" borderId="3" xfId="0" applyFont="1" applyFill="1" applyBorder="1" applyAlignment="1">
      <alignment horizontal="center" vertical="center"/>
    </xf>
    <xf numFmtId="0" fontId="43" fillId="0" borderId="0" xfId="0" applyFont="1"/>
    <xf numFmtId="3" fontId="4" fillId="5" borderId="7" xfId="0" applyNumberFormat="1" applyFont="1" applyFill="1" applyBorder="1" applyAlignment="1">
      <alignment horizontal="center"/>
    </xf>
    <xf numFmtId="1" fontId="3" fillId="5" borderId="6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" fontId="7" fillId="5" borderId="1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44" fillId="0" borderId="0" xfId="0" applyFont="1"/>
    <xf numFmtId="3" fontId="15" fillId="5" borderId="5" xfId="0" applyNumberFormat="1" applyFont="1" applyFill="1" applyBorder="1" applyAlignment="1">
      <alignment horizontal="center"/>
    </xf>
    <xf numFmtId="0" fontId="45" fillId="0" borderId="0" xfId="0" applyFont="1" applyBorder="1" applyAlignment="1">
      <alignment horizontal="left"/>
    </xf>
    <xf numFmtId="3" fontId="7" fillId="5" borderId="14" xfId="0" applyNumberFormat="1" applyFont="1" applyFill="1" applyBorder="1" applyAlignment="1">
      <alignment horizontal="center"/>
    </xf>
    <xf numFmtId="188" fontId="7" fillId="5" borderId="7" xfId="0" applyNumberFormat="1" applyFont="1" applyFill="1" applyBorder="1" applyAlignment="1">
      <alignment horizontal="center"/>
    </xf>
    <xf numFmtId="0" fontId="19" fillId="0" borderId="0" xfId="0" applyFont="1"/>
    <xf numFmtId="2" fontId="38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90" fontId="7" fillId="16" borderId="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/>
    <xf numFmtId="0" fontId="2" fillId="0" borderId="0" xfId="0" applyFont="1" applyFill="1" applyBorder="1"/>
    <xf numFmtId="0" fontId="32" fillId="0" borderId="0" xfId="0" applyFont="1" applyFill="1" applyBorder="1"/>
    <xf numFmtId="0" fontId="3" fillId="0" borderId="0" xfId="0" applyFont="1" applyFill="1" applyBorder="1"/>
    <xf numFmtId="17" fontId="47" fillId="0" borderId="5" xfId="0" applyNumberFormat="1" applyFont="1" applyFill="1" applyBorder="1" applyAlignment="1">
      <alignment horizontal="center"/>
    </xf>
    <xf numFmtId="17" fontId="47" fillId="0" borderId="11" xfId="0" applyNumberFormat="1" applyFont="1" applyFill="1" applyBorder="1" applyAlignment="1">
      <alignment horizontal="center"/>
    </xf>
    <xf numFmtId="0" fontId="48" fillId="0" borderId="0" xfId="0" applyFont="1"/>
    <xf numFmtId="3" fontId="2" fillId="5" borderId="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3" fontId="4" fillId="0" borderId="3" xfId="1" applyNumberFormat="1" applyFont="1" applyBorder="1" applyAlignment="1">
      <alignment horizontal="center"/>
    </xf>
    <xf numFmtId="3" fontId="7" fillId="12" borderId="3" xfId="0" applyNumberFormat="1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12" borderId="5" xfId="0" applyFont="1" applyFill="1" applyBorder="1" applyAlignment="1">
      <alignment horizontal="center"/>
    </xf>
    <xf numFmtId="1" fontId="10" fillId="5" borderId="4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7" fillId="5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50" fillId="0" borderId="21" xfId="0" applyFont="1" applyBorder="1"/>
    <xf numFmtId="0" fontId="25" fillId="0" borderId="21" xfId="0" applyFont="1" applyBorder="1" applyAlignment="1">
      <alignment horizontal="center" vertical="center"/>
    </xf>
    <xf numFmtId="0" fontId="50" fillId="0" borderId="48" xfId="0" applyFont="1" applyBorder="1"/>
    <xf numFmtId="0" fontId="50" fillId="0" borderId="0" xfId="0" applyFont="1" applyBorder="1"/>
    <xf numFmtId="0" fontId="50" fillId="0" borderId="0" xfId="0" applyFont="1"/>
    <xf numFmtId="0" fontId="16" fillId="0" borderId="23" xfId="0" applyFont="1" applyBorder="1"/>
    <xf numFmtId="0" fontId="16" fillId="0" borderId="24" xfId="0" applyFont="1" applyBorder="1"/>
    <xf numFmtId="0" fontId="50" fillId="0" borderId="21" xfId="0" applyFont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0" fillId="0" borderId="47" xfId="0" applyFont="1" applyBorder="1" applyAlignment="1">
      <alignment vertical="center"/>
    </xf>
    <xf numFmtId="0" fontId="50" fillId="0" borderId="23" xfId="0" applyFont="1" applyBorder="1"/>
    <xf numFmtId="0" fontId="50" fillId="0" borderId="24" xfId="0" applyFont="1" applyBorder="1"/>
    <xf numFmtId="0" fontId="50" fillId="0" borderId="49" xfId="0" applyFont="1" applyBorder="1"/>
    <xf numFmtId="0" fontId="50" fillId="0" borderId="50" xfId="0" applyFont="1" applyBorder="1" applyAlignment="1">
      <alignment vertical="center"/>
    </xf>
    <xf numFmtId="0" fontId="50" fillId="0" borderId="50" xfId="0" applyFont="1" applyBorder="1"/>
    <xf numFmtId="0" fontId="51" fillId="0" borderId="50" xfId="0" applyFont="1" applyBorder="1" applyAlignment="1">
      <alignment horizontal="right" vertical="center"/>
    </xf>
    <xf numFmtId="0" fontId="50" fillId="0" borderId="52" xfId="0" applyFont="1" applyBorder="1" applyAlignment="1">
      <alignment vertical="center"/>
    </xf>
    <xf numFmtId="0" fontId="50" fillId="0" borderId="52" xfId="0" applyFont="1" applyBorder="1"/>
    <xf numFmtId="0" fontId="51" fillId="0" borderId="52" xfId="0" applyFont="1" applyBorder="1" applyAlignment="1">
      <alignment horizontal="right" vertical="center"/>
    </xf>
    <xf numFmtId="0" fontId="51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4" fillId="7" borderId="26" xfId="0" applyNumberFormat="1" applyFont="1" applyFill="1" applyBorder="1" applyAlignment="1">
      <alignment horizontal="center"/>
    </xf>
    <xf numFmtId="1" fontId="7" fillId="24" borderId="16" xfId="0" applyNumberFormat="1" applyFont="1" applyFill="1" applyBorder="1" applyAlignment="1">
      <alignment horizontal="center"/>
    </xf>
    <xf numFmtId="0" fontId="4" fillId="18" borderId="4" xfId="0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/>
    </xf>
    <xf numFmtId="3" fontId="7" fillId="24" borderId="5" xfId="0" applyNumberFormat="1" applyFont="1" applyFill="1" applyBorder="1" applyAlignment="1">
      <alignment horizontal="center"/>
    </xf>
    <xf numFmtId="0" fontId="4" fillId="18" borderId="5" xfId="0" applyFont="1" applyFill="1" applyBorder="1" applyAlignment="1">
      <alignment horizontal="center"/>
    </xf>
    <xf numFmtId="189" fontId="4" fillId="0" borderId="16" xfId="1" applyNumberFormat="1" applyFont="1" applyFill="1" applyBorder="1" applyAlignment="1">
      <alignment horizontal="center"/>
    </xf>
    <xf numFmtId="1" fontId="7" fillId="24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89" fontId="4" fillId="0" borderId="6" xfId="1" applyNumberFormat="1" applyFont="1" applyFill="1" applyBorder="1" applyAlignment="1">
      <alignment horizontal="center"/>
    </xf>
    <xf numFmtId="1" fontId="7" fillId="24" borderId="6" xfId="0" applyNumberFormat="1" applyFont="1" applyFill="1" applyBorder="1" applyAlignment="1">
      <alignment horizontal="center"/>
    </xf>
    <xf numFmtId="0" fontId="4" fillId="18" borderId="6" xfId="0" applyFont="1" applyFill="1" applyBorder="1" applyAlignment="1">
      <alignment horizontal="center"/>
    </xf>
    <xf numFmtId="3" fontId="23" fillId="25" borderId="7" xfId="0" applyNumberFormat="1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2" fontId="16" fillId="0" borderId="15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0" fillId="0" borderId="40" xfId="0" applyFont="1" applyBorder="1"/>
    <xf numFmtId="0" fontId="51" fillId="0" borderId="35" xfId="0" applyFont="1" applyBorder="1" applyAlignment="1">
      <alignment vertical="center"/>
    </xf>
    <xf numFmtId="0" fontId="51" fillId="0" borderId="38" xfId="0" applyFont="1" applyBorder="1" applyAlignment="1">
      <alignment horizontal="center" vertical="center"/>
    </xf>
    <xf numFmtId="0" fontId="11" fillId="0" borderId="38" xfId="0" applyFont="1" applyBorder="1"/>
    <xf numFmtId="0" fontId="50" fillId="0" borderId="38" xfId="0" applyFont="1" applyBorder="1"/>
    <xf numFmtId="0" fontId="50" fillId="0" borderId="39" xfId="0" applyFont="1" applyBorder="1"/>
    <xf numFmtId="0" fontId="50" fillId="0" borderId="34" xfId="0" applyFont="1" applyBorder="1"/>
    <xf numFmtId="0" fontId="50" fillId="0" borderId="41" xfId="0" applyFont="1" applyBorder="1"/>
    <xf numFmtId="0" fontId="50" fillId="0" borderId="38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0" fillId="0" borderId="55" xfId="0" applyFont="1" applyBorder="1"/>
    <xf numFmtId="0" fontId="50" fillId="0" borderId="56" xfId="0" applyFont="1" applyBorder="1"/>
    <xf numFmtId="0" fontId="49" fillId="0" borderId="0" xfId="0" applyFont="1" applyFill="1" applyAlignment="1">
      <alignment vertical="center"/>
    </xf>
    <xf numFmtId="0" fontId="25" fillId="0" borderId="20" xfId="0" applyFont="1" applyBorder="1" applyAlignment="1">
      <alignment horizontal="left" vertical="center"/>
    </xf>
    <xf numFmtId="0" fontId="16" fillId="0" borderId="21" xfId="0" applyFont="1" applyBorder="1" applyAlignment="1"/>
    <xf numFmtId="0" fontId="50" fillId="0" borderId="0" xfId="0" applyFont="1" applyBorder="1" applyAlignment="1"/>
    <xf numFmtId="0" fontId="50" fillId="0" borderId="22" xfId="0" applyFont="1" applyBorder="1" applyAlignment="1"/>
    <xf numFmtId="0" fontId="50" fillId="0" borderId="22" xfId="0" applyFont="1" applyBorder="1"/>
    <xf numFmtId="1" fontId="4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52" fillId="0" borderId="4" xfId="0" applyNumberFormat="1" applyFont="1" applyFill="1" applyBorder="1" applyAlignment="1">
      <alignment horizontal="center" vertical="center"/>
    </xf>
    <xf numFmtId="1" fontId="53" fillId="0" borderId="5" xfId="0" applyNumberFormat="1" applyFont="1" applyFill="1" applyBorder="1" applyAlignment="1">
      <alignment horizontal="center" vertical="center"/>
    </xf>
    <xf numFmtId="1" fontId="53" fillId="0" borderId="6" xfId="0" applyNumberFormat="1" applyFont="1" applyFill="1" applyBorder="1" applyAlignment="1">
      <alignment horizontal="center" vertical="center"/>
    </xf>
    <xf numFmtId="189" fontId="46" fillId="16" borderId="3" xfId="0" applyNumberFormat="1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/>
    </xf>
    <xf numFmtId="0" fontId="16" fillId="0" borderId="22" xfId="0" applyFont="1" applyBorder="1"/>
    <xf numFmtId="0" fontId="2" fillId="3" borderId="3" xfId="0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0" fontId="54" fillId="0" borderId="35" xfId="0" applyFont="1" applyBorder="1"/>
    <xf numFmtId="0" fontId="54" fillId="0" borderId="36" xfId="0" applyFont="1" applyBorder="1"/>
    <xf numFmtId="0" fontId="19" fillId="0" borderId="36" xfId="0" applyFont="1" applyBorder="1"/>
    <xf numFmtId="0" fontId="55" fillId="0" borderId="36" xfId="0" applyFont="1" applyBorder="1"/>
    <xf numFmtId="0" fontId="55" fillId="0" borderId="37" xfId="0" applyFont="1" applyBorder="1"/>
    <xf numFmtId="0" fontId="55" fillId="0" borderId="0" xfId="0" applyFont="1"/>
    <xf numFmtId="0" fontId="55" fillId="0" borderId="0" xfId="0" applyFont="1" applyBorder="1"/>
    <xf numFmtId="0" fontId="55" fillId="0" borderId="34" xfId="0" applyFont="1" applyBorder="1"/>
    <xf numFmtId="0" fontId="55" fillId="0" borderId="38" xfId="0" applyFont="1" applyBorder="1"/>
    <xf numFmtId="0" fontId="55" fillId="0" borderId="40" xfId="0" applyFont="1" applyBorder="1"/>
    <xf numFmtId="0" fontId="55" fillId="0" borderId="41" xfId="0" applyFont="1" applyBorder="1"/>
    <xf numFmtId="0" fontId="55" fillId="0" borderId="39" xfId="0" applyFont="1" applyBorder="1"/>
    <xf numFmtId="0" fontId="55" fillId="0" borderId="0" xfId="0" applyFont="1" applyBorder="1" applyAlignment="1">
      <alignment horizontal="left"/>
    </xf>
    <xf numFmtId="0" fontId="56" fillId="0" borderId="38" xfId="0" applyFont="1" applyBorder="1" applyAlignment="1">
      <alignment horizontal="center"/>
    </xf>
    <xf numFmtId="0" fontId="55" fillId="0" borderId="55" xfId="0" applyFont="1" applyBorder="1" applyAlignment="1">
      <alignment horizontal="left"/>
    </xf>
    <xf numFmtId="0" fontId="55" fillId="0" borderId="55" xfId="0" applyFont="1" applyBorder="1"/>
    <xf numFmtId="0" fontId="55" fillId="0" borderId="56" xfId="0" applyFont="1" applyBorder="1" applyAlignment="1">
      <alignment horizontal="left"/>
    </xf>
    <xf numFmtId="0" fontId="55" fillId="0" borderId="56" xfId="0" applyFont="1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5" fillId="0" borderId="35" xfId="0" applyFont="1" applyBorder="1"/>
    <xf numFmtId="0" fontId="16" fillId="0" borderId="36" xfId="0" applyFont="1" applyBorder="1"/>
    <xf numFmtId="0" fontId="50" fillId="0" borderId="36" xfId="0" applyFont="1" applyBorder="1"/>
    <xf numFmtId="0" fontId="50" fillId="0" borderId="37" xfId="0" applyFont="1" applyBorder="1"/>
    <xf numFmtId="0" fontId="7" fillId="0" borderId="16" xfId="0" applyFont="1" applyBorder="1"/>
    <xf numFmtId="1" fontId="4" fillId="7" borderId="29" xfId="0" applyNumberFormat="1" applyFont="1" applyFill="1" applyBorder="1" applyAlignment="1">
      <alignment horizontal="center"/>
    </xf>
    <xf numFmtId="17" fontId="4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57" fillId="13" borderId="4" xfId="0" applyFont="1" applyFill="1" applyBorder="1" applyAlignment="1">
      <alignment horizontal="left" vertical="center"/>
    </xf>
    <xf numFmtId="0" fontId="16" fillId="13" borderId="4" xfId="0" applyFont="1" applyFill="1" applyBorder="1" applyAlignment="1">
      <alignment horizontal="center" vertical="center" wrapText="1"/>
    </xf>
    <xf numFmtId="49" fontId="7" fillId="13" borderId="4" xfId="0" applyNumberFormat="1" applyFont="1" applyFill="1" applyBorder="1" applyAlignment="1">
      <alignment horizontal="center" vertical="center"/>
    </xf>
    <xf numFmtId="0" fontId="7" fillId="13" borderId="26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  <xf numFmtId="3" fontId="4" fillId="26" borderId="5" xfId="0" applyNumberFormat="1" applyFont="1" applyFill="1" applyBorder="1" applyAlignment="1">
      <alignment horizontal="center"/>
    </xf>
    <xf numFmtId="3" fontId="4" fillId="26" borderId="28" xfId="0" applyNumberFormat="1" applyFont="1" applyFill="1" applyBorder="1" applyAlignment="1">
      <alignment horizontal="center"/>
    </xf>
    <xf numFmtId="3" fontId="7" fillId="26" borderId="5" xfId="0" applyNumberFormat="1" applyFont="1" applyFill="1" applyBorder="1" applyAlignment="1">
      <alignment horizontal="center"/>
    </xf>
    <xf numFmtId="1" fontId="4" fillId="26" borderId="45" xfId="0" applyNumberFormat="1" applyFont="1" applyFill="1" applyBorder="1" applyAlignment="1">
      <alignment horizontal="center"/>
    </xf>
    <xf numFmtId="0" fontId="7" fillId="23" borderId="3" xfId="0" applyFont="1" applyFill="1" applyBorder="1" applyAlignment="1">
      <alignment horizontal="center"/>
    </xf>
    <xf numFmtId="0" fontId="16" fillId="23" borderId="3" xfId="0" applyFont="1" applyFill="1" applyBorder="1" applyAlignment="1">
      <alignment horizontal="center"/>
    </xf>
    <xf numFmtId="3" fontId="7" fillId="23" borderId="3" xfId="0" applyNumberFormat="1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7" fillId="27" borderId="7" xfId="0" applyFont="1" applyFill="1" applyBorder="1" applyAlignment="1">
      <alignment horizontal="center"/>
    </xf>
    <xf numFmtId="0" fontId="16" fillId="27" borderId="7" xfId="0" applyFont="1" applyFill="1" applyBorder="1" applyAlignment="1">
      <alignment horizontal="center"/>
    </xf>
    <xf numFmtId="3" fontId="7" fillId="27" borderId="7" xfId="0" applyNumberFormat="1" applyFont="1" applyFill="1" applyBorder="1" applyAlignment="1">
      <alignment horizontal="center"/>
    </xf>
    <xf numFmtId="3" fontId="7" fillId="28" borderId="3" xfId="0" applyNumberFormat="1" applyFont="1" applyFill="1" applyBorder="1" applyAlignment="1">
      <alignment horizontal="center"/>
    </xf>
    <xf numFmtId="1" fontId="7" fillId="28" borderId="14" xfId="0" applyNumberFormat="1" applyFont="1" applyFill="1" applyBorder="1" applyAlignment="1">
      <alignment horizontal="center"/>
    </xf>
    <xf numFmtId="0" fontId="16" fillId="0" borderId="34" xfId="0" applyFont="1" applyBorder="1"/>
    <xf numFmtId="0" fontId="4" fillId="0" borderId="55" xfId="0" applyFont="1" applyBorder="1"/>
    <xf numFmtId="0" fontId="4" fillId="0" borderId="56" xfId="0" applyFont="1" applyBorder="1"/>
    <xf numFmtId="0" fontId="25" fillId="0" borderId="0" xfId="0" applyFont="1" applyBorder="1"/>
    <xf numFmtId="0" fontId="50" fillId="0" borderId="0" xfId="0" applyFont="1" applyBorder="1" applyAlignment="1">
      <alignment horizontal="left"/>
    </xf>
    <xf numFmtId="0" fontId="50" fillId="0" borderId="55" xfId="0" applyFont="1" applyBorder="1" applyAlignment="1">
      <alignment horizontal="left"/>
    </xf>
    <xf numFmtId="0" fontId="50" fillId="0" borderId="56" xfId="0" applyFont="1" applyBorder="1" applyAlignment="1">
      <alignment horizontal="left"/>
    </xf>
    <xf numFmtId="0" fontId="50" fillId="0" borderId="54" xfId="0" applyFont="1" applyBorder="1" applyAlignment="1">
      <alignment horizontal="left"/>
    </xf>
    <xf numFmtId="0" fontId="50" fillId="0" borderId="54" xfId="0" applyFont="1" applyBorder="1"/>
    <xf numFmtId="0" fontId="51" fillId="0" borderId="0" xfId="0" applyFont="1" applyBorder="1"/>
    <xf numFmtId="0" fontId="25" fillId="0" borderId="38" xfId="0" applyFont="1" applyBorder="1" applyAlignment="1">
      <alignment horizontal="center"/>
    </xf>
    <xf numFmtId="0" fontId="51" fillId="0" borderId="38" xfId="0" applyFont="1" applyBorder="1"/>
    <xf numFmtId="0" fontId="7" fillId="0" borderId="38" xfId="0" applyFont="1" applyBorder="1"/>
    <xf numFmtId="0" fontId="20" fillId="0" borderId="0" xfId="0" applyFont="1" applyAlignment="1">
      <alignment horizontal="left" vertical="center"/>
    </xf>
    <xf numFmtId="0" fontId="7" fillId="0" borderId="7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191" fontId="4" fillId="0" borderId="3" xfId="0" applyNumberFormat="1" applyFont="1" applyFill="1" applyBorder="1" applyAlignment="1">
      <alignment horizontal="center"/>
    </xf>
    <xf numFmtId="0" fontId="40" fillId="0" borderId="36" xfId="0" applyFont="1" applyBorder="1"/>
    <xf numFmtId="0" fontId="40" fillId="0" borderId="37" xfId="0" applyFont="1" applyBorder="1"/>
    <xf numFmtId="0" fontId="40" fillId="0" borderId="34" xfId="0" applyFont="1" applyBorder="1"/>
    <xf numFmtId="0" fontId="40" fillId="0" borderId="40" xfId="0" applyFont="1" applyBorder="1"/>
    <xf numFmtId="0" fontId="40" fillId="0" borderId="41" xfId="0" applyFont="1" applyBorder="1"/>
    <xf numFmtId="1" fontId="4" fillId="0" borderId="42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0" fontId="57" fillId="30" borderId="4" xfId="0" applyFont="1" applyFill="1" applyBorder="1" applyAlignment="1">
      <alignment horizontal="left" vertical="center"/>
    </xf>
    <xf numFmtId="0" fontId="16" fillId="30" borderId="16" xfId="0" applyFont="1" applyFill="1" applyBorder="1" applyAlignment="1">
      <alignment horizontal="center"/>
    </xf>
    <xf numFmtId="3" fontId="4" fillId="30" borderId="16" xfId="0" applyNumberFormat="1" applyFont="1" applyFill="1" applyBorder="1" applyAlignment="1">
      <alignment horizontal="center"/>
    </xf>
    <xf numFmtId="3" fontId="4" fillId="30" borderId="29" xfId="0" applyNumberFormat="1" applyFont="1" applyFill="1" applyBorder="1" applyAlignment="1">
      <alignment horizontal="center"/>
    </xf>
    <xf numFmtId="3" fontId="10" fillId="30" borderId="16" xfId="0" applyNumberFormat="1" applyFont="1" applyFill="1" applyBorder="1" applyAlignment="1">
      <alignment horizontal="center"/>
    </xf>
    <xf numFmtId="1" fontId="4" fillId="30" borderId="42" xfId="0" applyNumberFormat="1" applyFont="1" applyFill="1" applyBorder="1" applyAlignment="1">
      <alignment horizontal="center"/>
    </xf>
    <xf numFmtId="0" fontId="4" fillId="30" borderId="16" xfId="0" applyFont="1" applyFill="1" applyBorder="1" applyAlignment="1">
      <alignment horizontal="center"/>
    </xf>
    <xf numFmtId="17" fontId="4" fillId="30" borderId="16" xfId="0" applyNumberFormat="1" applyFont="1" applyFill="1" applyBorder="1" applyAlignment="1">
      <alignment horizontal="center"/>
    </xf>
    <xf numFmtId="0" fontId="7" fillId="30" borderId="16" xfId="0" applyFont="1" applyFill="1" applyBorder="1" applyAlignment="1">
      <alignment horizontal="center"/>
    </xf>
    <xf numFmtId="3" fontId="4" fillId="15" borderId="29" xfId="0" applyNumberFormat="1" applyFont="1" applyFill="1" applyBorder="1" applyAlignment="1">
      <alignment horizontal="center"/>
    </xf>
    <xf numFmtId="3" fontId="4" fillId="15" borderId="28" xfId="0" applyNumberFormat="1" applyFont="1" applyFill="1" applyBorder="1" applyAlignment="1">
      <alignment horizontal="center"/>
    </xf>
    <xf numFmtId="3" fontId="4" fillId="15" borderId="6" xfId="0" applyNumberFormat="1" applyFont="1" applyFill="1" applyBorder="1" applyAlignment="1">
      <alignment horizontal="center"/>
    </xf>
    <xf numFmtId="3" fontId="7" fillId="31" borderId="7" xfId="0" applyNumberFormat="1" applyFont="1" applyFill="1" applyBorder="1" applyAlignment="1">
      <alignment horizontal="center"/>
    </xf>
    <xf numFmtId="1" fontId="4" fillId="15" borderId="42" xfId="0" applyNumberFormat="1" applyFont="1" applyFill="1" applyBorder="1" applyAlignment="1">
      <alignment horizontal="center"/>
    </xf>
    <xf numFmtId="1" fontId="4" fillId="15" borderId="45" xfId="0" applyNumberFormat="1" applyFont="1" applyFill="1" applyBorder="1" applyAlignment="1">
      <alignment horizontal="center"/>
    </xf>
    <xf numFmtId="1" fontId="4" fillId="15" borderId="6" xfId="0" applyNumberFormat="1" applyFont="1" applyFill="1" applyBorder="1" applyAlignment="1">
      <alignment horizontal="center"/>
    </xf>
    <xf numFmtId="1" fontId="7" fillId="31" borderId="14" xfId="0" applyNumberFormat="1" applyFont="1" applyFill="1" applyBorder="1" applyAlignment="1">
      <alignment horizontal="center"/>
    </xf>
    <xf numFmtId="3" fontId="4" fillId="15" borderId="5" xfId="0" applyNumberFormat="1" applyFont="1" applyFill="1" applyBorder="1" applyAlignment="1">
      <alignment horizontal="center"/>
    </xf>
    <xf numFmtId="1" fontId="43" fillId="0" borderId="5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27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189" fontId="4" fillId="7" borderId="4" xfId="0" applyNumberFormat="1" applyFont="1" applyFill="1" applyBorder="1" applyAlignment="1">
      <alignment horizontal="center" vertical="center"/>
    </xf>
    <xf numFmtId="189" fontId="4" fillId="11" borderId="5" xfId="0" applyNumberFormat="1" applyFont="1" applyFill="1" applyBorder="1" applyAlignment="1">
      <alignment horizontal="right" vertical="center"/>
    </xf>
    <xf numFmtId="0" fontId="17" fillId="0" borderId="0" xfId="0" applyFont="1"/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Fill="1"/>
    <xf numFmtId="0" fontId="10" fillId="0" borderId="0" xfId="0" applyFont="1" applyFill="1"/>
    <xf numFmtId="1" fontId="4" fillId="5" borderId="18" xfId="0" applyNumberFormat="1" applyFont="1" applyFill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1" fontId="4" fillId="5" borderId="43" xfId="0" applyNumberFormat="1" applyFont="1" applyFill="1" applyBorder="1" applyAlignment="1">
      <alignment horizontal="center"/>
    </xf>
    <xf numFmtId="1" fontId="7" fillId="5" borderId="43" xfId="0" applyNumberFormat="1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37" xfId="0" applyFont="1" applyBorder="1"/>
    <xf numFmtId="0" fontId="4" fillId="0" borderId="34" xfId="0" applyFont="1" applyBorder="1"/>
    <xf numFmtId="0" fontId="4" fillId="0" borderId="41" xfId="0" applyFont="1" applyBorder="1"/>
    <xf numFmtId="3" fontId="7" fillId="16" borderId="3" xfId="0" applyNumberFormat="1" applyFont="1" applyFill="1" applyBorder="1" applyAlignment="1">
      <alignment horizontal="center" vertical="center"/>
    </xf>
    <xf numFmtId="2" fontId="4" fillId="33" borderId="4" xfId="0" applyNumberFormat="1" applyFont="1" applyFill="1" applyBorder="1" applyAlignment="1">
      <alignment horizontal="center"/>
    </xf>
    <xf numFmtId="2" fontId="4" fillId="33" borderId="16" xfId="0" applyNumberFormat="1" applyFont="1" applyFill="1" applyBorder="1" applyAlignment="1">
      <alignment horizontal="center"/>
    </xf>
    <xf numFmtId="2" fontId="4" fillId="33" borderId="6" xfId="0" applyNumberFormat="1" applyFont="1" applyFill="1" applyBorder="1" applyAlignment="1">
      <alignment horizontal="center"/>
    </xf>
    <xf numFmtId="2" fontId="7" fillId="33" borderId="7" xfId="0" applyNumberFormat="1" applyFont="1" applyFill="1" applyBorder="1" applyAlignment="1">
      <alignment horizontal="center"/>
    </xf>
    <xf numFmtId="189" fontId="4" fillId="11" borderId="5" xfId="0" applyNumberFormat="1" applyFont="1" applyFill="1" applyBorder="1" applyAlignment="1">
      <alignment horizontal="center" vertical="center"/>
    </xf>
    <xf numFmtId="189" fontId="4" fillId="0" borderId="4" xfId="0" applyNumberFormat="1" applyFont="1" applyFill="1" applyBorder="1" applyAlignment="1">
      <alignment horizontal="center" vertical="center"/>
    </xf>
    <xf numFmtId="189" fontId="4" fillId="0" borderId="5" xfId="0" applyNumberFormat="1" applyFont="1" applyFill="1" applyBorder="1" applyAlignment="1">
      <alignment horizontal="center" vertical="center"/>
    </xf>
    <xf numFmtId="0" fontId="7" fillId="0" borderId="44" xfId="0" applyFont="1" applyBorder="1"/>
    <xf numFmtId="0" fontId="16" fillId="0" borderId="44" xfId="0" applyFont="1" applyBorder="1" applyAlignment="1">
      <alignment horizontal="center"/>
    </xf>
    <xf numFmtId="3" fontId="4" fillId="0" borderId="44" xfId="0" applyNumberFormat="1" applyFont="1" applyFill="1" applyBorder="1" applyAlignment="1">
      <alignment horizontal="center"/>
    </xf>
    <xf numFmtId="3" fontId="4" fillId="15" borderId="33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4" fillId="15" borderId="30" xfId="0" applyNumberFormat="1" applyFont="1" applyFill="1" applyBorder="1" applyAlignment="1">
      <alignment horizontal="center"/>
    </xf>
    <xf numFmtId="17" fontId="4" fillId="14" borderId="44" xfId="0" applyNumberFormat="1" applyFont="1" applyFill="1" applyBorder="1" applyAlignment="1">
      <alignment horizontal="center"/>
    </xf>
    <xf numFmtId="0" fontId="4" fillId="14" borderId="44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27" borderId="3" xfId="0" applyFont="1" applyFill="1" applyBorder="1" applyAlignment="1">
      <alignment horizontal="center"/>
    </xf>
    <xf numFmtId="0" fontId="16" fillId="27" borderId="3" xfId="0" applyFont="1" applyFill="1" applyBorder="1" applyAlignment="1">
      <alignment horizontal="center"/>
    </xf>
    <xf numFmtId="3" fontId="7" fillId="27" borderId="3" xfId="0" applyNumberFormat="1" applyFont="1" applyFill="1" applyBorder="1" applyAlignment="1">
      <alignment horizontal="center"/>
    </xf>
    <xf numFmtId="3" fontId="7" fillId="31" borderId="3" xfId="0" applyNumberFormat="1" applyFont="1" applyFill="1" applyBorder="1" applyAlignment="1">
      <alignment horizontal="center"/>
    </xf>
    <xf numFmtId="1" fontId="7" fillId="28" borderId="13" xfId="0" applyNumberFormat="1" applyFont="1" applyFill="1" applyBorder="1" applyAlignment="1">
      <alignment horizontal="center"/>
    </xf>
    <xf numFmtId="1" fontId="7" fillId="31" borderId="13" xfId="0" applyNumberFormat="1" applyFont="1" applyFill="1" applyBorder="1" applyAlignment="1">
      <alignment horizontal="center"/>
    </xf>
    <xf numFmtId="3" fontId="4" fillId="26" borderId="44" xfId="0" applyNumberFormat="1" applyFont="1" applyFill="1" applyBorder="1" applyAlignment="1">
      <alignment horizontal="center"/>
    </xf>
    <xf numFmtId="3" fontId="4" fillId="26" borderId="33" xfId="0" applyNumberFormat="1" applyFont="1" applyFill="1" applyBorder="1" applyAlignment="1">
      <alignment horizontal="center"/>
    </xf>
    <xf numFmtId="3" fontId="7" fillId="26" borderId="44" xfId="0" applyNumberFormat="1" applyFont="1" applyFill="1" applyBorder="1" applyAlignment="1">
      <alignment horizontal="center"/>
    </xf>
    <xf numFmtId="1" fontId="4" fillId="26" borderId="30" xfId="0" applyNumberFormat="1" applyFont="1" applyFill="1" applyBorder="1" applyAlignment="1">
      <alignment horizontal="center"/>
    </xf>
    <xf numFmtId="3" fontId="4" fillId="15" borderId="44" xfId="0" applyNumberFormat="1" applyFont="1" applyFill="1" applyBorder="1" applyAlignment="1">
      <alignment horizontal="center"/>
    </xf>
    <xf numFmtId="3" fontId="7" fillId="29" borderId="3" xfId="0" applyNumberFormat="1" applyFont="1" applyFill="1" applyBorder="1" applyAlignment="1">
      <alignment horizontal="center"/>
    </xf>
    <xf numFmtId="1" fontId="7" fillId="29" borderId="13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2" fontId="7" fillId="17" borderId="7" xfId="0" applyNumberFormat="1" applyFont="1" applyFill="1" applyBorder="1" applyAlignment="1">
      <alignment horizontal="center" vertical="center"/>
    </xf>
    <xf numFmtId="2" fontId="7" fillId="25" borderId="7" xfId="0" applyNumberFormat="1" applyFont="1" applyFill="1" applyBorder="1" applyAlignment="1">
      <alignment horizontal="center"/>
    </xf>
    <xf numFmtId="189" fontId="23" fillId="6" borderId="4" xfId="0" applyNumberFormat="1" applyFont="1" applyFill="1" applyBorder="1" applyAlignment="1">
      <alignment vertical="center"/>
    </xf>
    <xf numFmtId="189" fontId="43" fillId="6" borderId="5" xfId="0" applyNumberFormat="1" applyFont="1" applyFill="1" applyBorder="1" applyAlignment="1">
      <alignment vertical="center"/>
    </xf>
    <xf numFmtId="3" fontId="7" fillId="6" borderId="4" xfId="0" applyNumberFormat="1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/>
    </xf>
    <xf numFmtId="1" fontId="58" fillId="0" borderId="42" xfId="0" applyNumberFormat="1" applyFont="1" applyFill="1" applyBorder="1" applyAlignment="1">
      <alignment horizontal="center"/>
    </xf>
    <xf numFmtId="3" fontId="23" fillId="0" borderId="5" xfId="0" applyNumberFormat="1" applyFont="1" applyFill="1" applyBorder="1" applyAlignment="1">
      <alignment horizontal="center"/>
    </xf>
    <xf numFmtId="1" fontId="58" fillId="0" borderId="45" xfId="0" applyNumberFormat="1" applyFont="1" applyFill="1" applyBorder="1" applyAlignment="1">
      <alignment horizontal="center"/>
    </xf>
    <xf numFmtId="3" fontId="23" fillId="0" borderId="44" xfId="0" applyNumberFormat="1" applyFont="1" applyFill="1" applyBorder="1" applyAlignment="1">
      <alignment horizontal="center"/>
    </xf>
    <xf numFmtId="1" fontId="58" fillId="0" borderId="30" xfId="0" applyNumberFormat="1" applyFont="1" applyFill="1" applyBorder="1" applyAlignment="1">
      <alignment horizontal="center"/>
    </xf>
    <xf numFmtId="3" fontId="10" fillId="0" borderId="44" xfId="0" applyNumberFormat="1" applyFont="1" applyFill="1" applyBorder="1" applyAlignment="1">
      <alignment horizontal="center"/>
    </xf>
    <xf numFmtId="1" fontId="58" fillId="0" borderId="6" xfId="0" applyNumberFormat="1" applyFont="1" applyFill="1" applyBorder="1" applyAlignment="1">
      <alignment horizontal="center"/>
    </xf>
    <xf numFmtId="3" fontId="7" fillId="28" borderId="7" xfId="0" applyNumberFormat="1" applyFont="1" applyFill="1" applyBorder="1" applyAlignment="1">
      <alignment horizontal="center"/>
    </xf>
    <xf numFmtId="3" fontId="23" fillId="0" borderId="6" xfId="0" applyNumberFormat="1" applyFont="1" applyFill="1" applyBorder="1" applyAlignment="1">
      <alignment horizontal="center"/>
    </xf>
    <xf numFmtId="1" fontId="58" fillId="0" borderId="43" xfId="0" applyNumberFormat="1" applyFont="1" applyFill="1" applyBorder="1" applyAlignment="1">
      <alignment horizontal="center"/>
    </xf>
    <xf numFmtId="0" fontId="59" fillId="0" borderId="0" xfId="0" applyFont="1"/>
    <xf numFmtId="1" fontId="5" fillId="5" borderId="6" xfId="0" applyNumberFormat="1" applyFont="1" applyFill="1" applyBorder="1" applyAlignment="1">
      <alignment horizontal="center"/>
    </xf>
    <xf numFmtId="1" fontId="3" fillId="5" borderId="43" xfId="0" applyNumberFormat="1" applyFont="1" applyFill="1" applyBorder="1" applyAlignment="1">
      <alignment horizontal="center"/>
    </xf>
    <xf numFmtId="1" fontId="4" fillId="5" borderId="45" xfId="0" applyNumberFormat="1" applyFont="1" applyFill="1" applyBorder="1" applyAlignment="1">
      <alignment horizontal="center"/>
    </xf>
    <xf numFmtId="0" fontId="50" fillId="0" borderId="57" xfId="0" applyFont="1" applyBorder="1"/>
    <xf numFmtId="0" fontId="50" fillId="0" borderId="58" xfId="0" applyFont="1" applyBorder="1"/>
    <xf numFmtId="0" fontId="50" fillId="0" borderId="59" xfId="0" applyFont="1" applyBorder="1"/>
    <xf numFmtId="3" fontId="12" fillId="6" borderId="5" xfId="0" applyNumberFormat="1" applyFont="1" applyFill="1" applyBorder="1" applyAlignment="1">
      <alignment horizontal="center" vertical="center"/>
    </xf>
    <xf numFmtId="3" fontId="12" fillId="5" borderId="5" xfId="0" applyNumberFormat="1" applyFont="1" applyFill="1" applyBorder="1" applyAlignment="1">
      <alignment horizontal="center"/>
    </xf>
    <xf numFmtId="189" fontId="7" fillId="6" borderId="5" xfId="0" applyNumberFormat="1" applyFont="1" applyFill="1" applyBorder="1" applyAlignment="1">
      <alignment vertical="center"/>
    </xf>
    <xf numFmtId="1" fontId="4" fillId="6" borderId="5" xfId="0" applyNumberFormat="1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3" fontId="10" fillId="5" borderId="5" xfId="0" applyNumberFormat="1" applyFont="1" applyFill="1" applyBorder="1" applyAlignment="1">
      <alignment horizontal="center"/>
    </xf>
    <xf numFmtId="1" fontId="7" fillId="16" borderId="3" xfId="0" applyNumberFormat="1" applyFont="1" applyFill="1" applyBorder="1" applyAlignment="1">
      <alignment horizontal="center" vertical="center"/>
    </xf>
    <xf numFmtId="1" fontId="7" fillId="23" borderId="3" xfId="0" applyNumberFormat="1" applyFont="1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0" fillId="0" borderId="50" xfId="0" applyFont="1" applyBorder="1" applyAlignment="1">
      <alignment horizontal="left" vertical="center"/>
    </xf>
    <xf numFmtId="0" fontId="50" fillId="0" borderId="51" xfId="0" applyFont="1" applyBorder="1" applyAlignment="1">
      <alignment horizontal="left" vertical="center"/>
    </xf>
    <xf numFmtId="0" fontId="50" fillId="0" borderId="52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50" fillId="0" borderId="55" xfId="0" applyFont="1" applyBorder="1" applyAlignment="1">
      <alignment horizontal="left" vertical="center"/>
    </xf>
    <xf numFmtId="0" fontId="50" fillId="0" borderId="56" xfId="0" applyFont="1" applyBorder="1" applyAlignment="1">
      <alignment horizontal="left" vertical="center"/>
    </xf>
    <xf numFmtId="0" fontId="50" fillId="0" borderId="0" xfId="0" applyFont="1" applyBorder="1" applyAlignment="1">
      <alignment horizontal="left"/>
    </xf>
    <xf numFmtId="0" fontId="2" fillId="4" borderId="3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7" fillId="32" borderId="2" xfId="0" applyFont="1" applyFill="1" applyBorder="1" applyAlignment="1">
      <alignment horizontal="center" vertical="center" wrapText="1"/>
    </xf>
    <xf numFmtId="0" fontId="7" fillId="32" borderId="7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 vertical="center" shrinkToFit="1"/>
    </xf>
    <xf numFmtId="0" fontId="7" fillId="8" borderId="1" xfId="0" applyFont="1" applyFill="1" applyBorder="1" applyAlignment="1">
      <alignment horizontal="center" vertical="center" shrinkToFit="1"/>
    </xf>
    <xf numFmtId="0" fontId="7" fillId="8" borderId="7" xfId="0" applyFont="1" applyFill="1" applyBorder="1" applyAlignment="1">
      <alignment horizontal="center" vertical="center" shrinkToFi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/>
    </xf>
    <xf numFmtId="0" fontId="2" fillId="22" borderId="2" xfId="0" applyFont="1" applyFill="1" applyBorder="1" applyAlignment="1">
      <alignment horizontal="center" vertical="center" wrapText="1"/>
    </xf>
    <xf numFmtId="0" fontId="2" fillId="22" borderId="7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55" fillId="0" borderId="55" xfId="0" applyFont="1" applyBorder="1" applyAlignment="1">
      <alignment horizontal="left" vertical="center"/>
    </xf>
    <xf numFmtId="0" fontId="55" fillId="0" borderId="56" xfId="0" applyFont="1" applyBorder="1" applyAlignment="1">
      <alignment horizontal="left" vertical="center"/>
    </xf>
    <xf numFmtId="0" fontId="55" fillId="0" borderId="0" xfId="0" applyFont="1" applyBorder="1" applyAlignment="1">
      <alignment horizontal="left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19" borderId="3" xfId="2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13" xfId="0" applyFont="1" applyBorder="1"/>
    <xf numFmtId="0" fontId="2" fillId="8" borderId="13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8" borderId="7" xfId="0" applyFont="1" applyFill="1" applyBorder="1" applyAlignment="1">
      <alignment horizontal="center" vertical="center" shrinkToFi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 wrapText="1"/>
    </xf>
    <xf numFmtId="0" fontId="7" fillId="12" borderId="31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7" fillId="4" borderId="3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0" fillId="0" borderId="15" xfId="0" applyBorder="1"/>
    <xf numFmtId="0" fontId="0" fillId="0" borderId="9" xfId="0" applyBorder="1"/>
    <xf numFmtId="0" fontId="0" fillId="0" borderId="10" xfId="0" applyBorder="1"/>
    <xf numFmtId="0" fontId="0" fillId="0" borderId="0" xfId="0"/>
    <xf numFmtId="0" fontId="0" fillId="0" borderId="32" xfId="0" applyBorder="1"/>
    <xf numFmtId="0" fontId="38" fillId="4" borderId="1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0" fillId="0" borderId="19" xfId="0" applyBorder="1"/>
    <xf numFmtId="0" fontId="0" fillId="0" borderId="14" xfId="0" applyBorder="1"/>
    <xf numFmtId="0" fontId="15" fillId="8" borderId="3" xfId="0" applyFont="1" applyFill="1" applyBorder="1" applyAlignment="1">
      <alignment horizontal="center" vertical="center" wrapText="1" shrinkToFi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31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horizontal="center" vertical="center" wrapText="1"/>
    </xf>
    <xf numFmtId="0" fontId="38" fillId="4" borderId="12" xfId="0" applyFont="1" applyFill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 vertical="center" shrinkToFit="1"/>
    </xf>
    <xf numFmtId="0" fontId="10" fillId="8" borderId="3" xfId="0" applyFont="1" applyFill="1" applyBorder="1" applyAlignment="1">
      <alignment horizontal="center" vertical="center" wrapText="1" shrinkToFi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7" fillId="20" borderId="9" xfId="0" applyFont="1" applyFill="1" applyBorder="1" applyAlignment="1">
      <alignment horizontal="center" vertical="center" wrapText="1"/>
    </xf>
    <xf numFmtId="0" fontId="7" fillId="12" borderId="12" xfId="0" applyFont="1" applyFill="1" applyBorder="1" applyAlignment="1">
      <alignment horizontal="center" vertical="center"/>
    </xf>
    <xf numFmtId="0" fontId="7" fillId="12" borderId="31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</cellXfs>
  <cellStyles count="3">
    <cellStyle name="เครื่องหมายจุลภาค" xfId="1" builtinId="3"/>
    <cellStyle name="ปกติ" xfId="0" builtinId="0"/>
    <cellStyle name="ส่วนที่ถูกเน้น3" xfId="2" builtinId="37"/>
  </cellStyles>
  <dxfs count="0"/>
  <tableStyles count="0" defaultTableStyle="TableStyleMedium9" defaultPivotStyle="PivotStyleLight16"/>
  <colors>
    <mruColors>
      <color rgb="FF0000FF"/>
      <color rgb="FFFF3300"/>
      <color rgb="FFFFFF99"/>
      <color rgb="FFFFFFCC"/>
      <color rgb="FF00FF00"/>
      <color rgb="FF99FF66"/>
      <color rgb="FF0066FF"/>
      <color rgb="FFFFCCFF"/>
      <color rgb="FFFF0066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391585</xdr:colOff>
      <xdr:row>15</xdr:row>
      <xdr:rowOff>66146</xdr:rowOff>
    </xdr:from>
    <xdr:to>
      <xdr:col>11</xdr:col>
      <xdr:colOff>369094</xdr:colOff>
      <xdr:row>16</xdr:row>
      <xdr:rowOff>71438</xdr:rowOff>
    </xdr:to>
    <xdr:grpSp>
      <xdr:nvGrpSpPr>
        <xdr:cNvPr id="2" name="Group 1"/>
        <xdr:cNvGrpSpPr/>
      </xdr:nvGrpSpPr>
      <xdr:grpSpPr>
        <a:xfrm>
          <a:off x="5630335" y="4650052"/>
          <a:ext cx="727603" cy="183886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359833</xdr:colOff>
      <xdr:row>15</xdr:row>
      <xdr:rowOff>91281</xdr:rowOff>
    </xdr:from>
    <xdr:to>
      <xdr:col>17</xdr:col>
      <xdr:colOff>440531</xdr:colOff>
      <xdr:row>16</xdr:row>
      <xdr:rowOff>83344</xdr:rowOff>
    </xdr:to>
    <xdr:grpSp>
      <xdr:nvGrpSpPr>
        <xdr:cNvPr id="6" name="Group 5"/>
        <xdr:cNvGrpSpPr/>
      </xdr:nvGrpSpPr>
      <xdr:grpSpPr>
        <a:xfrm>
          <a:off x="9372864" y="4675187"/>
          <a:ext cx="783167" cy="170657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27</xdr:col>
      <xdr:colOff>466194</xdr:colOff>
      <xdr:row>15</xdr:row>
      <xdr:rowOff>119063</xdr:rowOff>
    </xdr:from>
    <xdr:to>
      <xdr:col>28</xdr:col>
      <xdr:colOff>239976</xdr:colOff>
      <xdr:row>17</xdr:row>
      <xdr:rowOff>71438</xdr:rowOff>
    </xdr:to>
    <xdr:sp macro="" textlink="">
      <xdr:nvSpPr>
        <xdr:cNvPr id="10" name="Down Arrow 9"/>
        <xdr:cNvSpPr/>
      </xdr:nvSpPr>
      <xdr:spPr>
        <a:xfrm>
          <a:off x="15015632" y="4702969"/>
          <a:ext cx="381000" cy="547688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27</xdr:col>
      <xdr:colOff>363804</xdr:colOff>
      <xdr:row>17</xdr:row>
      <xdr:rowOff>273842</xdr:rowOff>
    </xdr:from>
    <xdr:to>
      <xdr:col>28</xdr:col>
      <xdr:colOff>747715</xdr:colOff>
      <xdr:row>23</xdr:row>
      <xdr:rowOff>0</xdr:rowOff>
    </xdr:to>
    <xdr:sp macro="" textlink="">
      <xdr:nvSpPr>
        <xdr:cNvPr id="11" name="Rectangle 10"/>
        <xdr:cNvSpPr/>
      </xdr:nvSpPr>
      <xdr:spPr>
        <a:xfrm>
          <a:off x="14913242" y="5453061"/>
          <a:ext cx="991129" cy="165497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1</a:t>
          </a:r>
          <a:r>
            <a:rPr lang="en-US" sz="1100" u="none" baseline="0">
              <a:solidFill>
                <a:srgbClr val="0000FF"/>
              </a:solidFill>
            </a:rPr>
            <a:t>2</a:t>
          </a:r>
          <a:r>
            <a:rPr lang="th-TH" sz="1100" u="none" baseline="0">
              <a:solidFill>
                <a:srgbClr val="0000FF"/>
              </a:solidFill>
            </a:rPr>
            <a:t> ของเกษตรกร เยาวชน และประชาชนกลุ่มเป้าหมายมีขีดความสามารถในการจัดทำบัญชีต้นทุนอาชีพ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24</xdr:col>
      <xdr:colOff>154781</xdr:colOff>
      <xdr:row>0</xdr:row>
      <xdr:rowOff>178594</xdr:rowOff>
    </xdr:from>
    <xdr:to>
      <xdr:col>25</xdr:col>
      <xdr:colOff>571500</xdr:colOff>
      <xdr:row>2</xdr:row>
      <xdr:rowOff>59531</xdr:rowOff>
    </xdr:to>
    <xdr:sp macro="" textlink="">
      <xdr:nvSpPr>
        <xdr:cNvPr id="12" name="Rounded Rectangle 11"/>
        <xdr:cNvSpPr/>
      </xdr:nvSpPr>
      <xdr:spPr>
        <a:xfrm>
          <a:off x="12811125" y="178594"/>
          <a:ext cx="1012031" cy="428625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solidFill>
                <a:sysClr val="windowText" lastClr="000000"/>
              </a:solidFill>
            </a:rPr>
            <a:t>RM25</a:t>
          </a:r>
          <a:endParaRPr lang="th-TH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11</xdr:row>
      <xdr:rowOff>38101</xdr:rowOff>
    </xdr:from>
    <xdr:to>
      <xdr:col>16</xdr:col>
      <xdr:colOff>190500</xdr:colOff>
      <xdr:row>11</xdr:row>
      <xdr:rowOff>232835</xdr:rowOff>
    </xdr:to>
    <xdr:grpSp>
      <xdr:nvGrpSpPr>
        <xdr:cNvPr id="2" name="Group 1"/>
        <xdr:cNvGrpSpPr/>
      </xdr:nvGrpSpPr>
      <xdr:grpSpPr>
        <a:xfrm>
          <a:off x="6097058" y="4292601"/>
          <a:ext cx="782109" cy="194734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26</xdr:col>
      <xdr:colOff>129116</xdr:colOff>
      <xdr:row>12</xdr:row>
      <xdr:rowOff>26459</xdr:rowOff>
    </xdr:from>
    <xdr:to>
      <xdr:col>26</xdr:col>
      <xdr:colOff>466725</xdr:colOff>
      <xdr:row>13</xdr:row>
      <xdr:rowOff>95250</xdr:rowOff>
    </xdr:to>
    <xdr:sp macro="" textlink="">
      <xdr:nvSpPr>
        <xdr:cNvPr id="7" name="Down Arrow 6"/>
        <xdr:cNvSpPr/>
      </xdr:nvSpPr>
      <xdr:spPr>
        <a:xfrm>
          <a:off x="10854266" y="4741334"/>
          <a:ext cx="337609" cy="335491"/>
        </a:xfrm>
        <a:prstGeom prst="downArrow">
          <a:avLst>
            <a:gd name="adj1" fmla="val 50000"/>
            <a:gd name="adj2" fmla="val 50000"/>
          </a:avLst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25</xdr:col>
      <xdr:colOff>11909</xdr:colOff>
      <xdr:row>13</xdr:row>
      <xdr:rowOff>154779</xdr:rowOff>
    </xdr:from>
    <xdr:to>
      <xdr:col>28</xdr:col>
      <xdr:colOff>71437</xdr:colOff>
      <xdr:row>19</xdr:row>
      <xdr:rowOff>166687</xdr:rowOff>
    </xdr:to>
    <xdr:sp macro="" textlink="">
      <xdr:nvSpPr>
        <xdr:cNvPr id="8" name="Rectangle 7"/>
        <xdr:cNvSpPr/>
      </xdr:nvSpPr>
      <xdr:spPr>
        <a:xfrm>
          <a:off x="10548940" y="4988717"/>
          <a:ext cx="1404935" cy="121443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50" u="sng">
              <a:solidFill>
                <a:srgbClr val="0000FF"/>
              </a:solidFill>
            </a:rPr>
            <a:t>ตชว.</a:t>
          </a:r>
          <a:r>
            <a:rPr lang="th-TH" sz="105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050" u="none" baseline="0">
              <a:solidFill>
                <a:srgbClr val="0000FF"/>
              </a:solidFill>
            </a:rPr>
            <a:t>ร้อยละ 20 ของกลุ่มเป้าหมายตามโครงการพระราชดำริที่ผ่านการฝึกอบรมสามารถจัดทำบัญชีได้</a:t>
          </a:r>
          <a:endParaRPr lang="th-TH" sz="1050" u="none">
            <a:solidFill>
              <a:srgbClr val="0000FF"/>
            </a:solidFill>
          </a:endParaRPr>
        </a:p>
      </xdr:txBody>
    </xdr:sp>
    <xdr:clientData/>
  </xdr:twoCellAnchor>
  <xdr:twoCellAnchor>
    <xdr:from>
      <xdr:col>35</xdr:col>
      <xdr:colOff>114300</xdr:colOff>
      <xdr:row>0</xdr:row>
      <xdr:rowOff>133350</xdr:rowOff>
    </xdr:from>
    <xdr:to>
      <xdr:col>37</xdr:col>
      <xdr:colOff>279400</xdr:colOff>
      <xdr:row>1</xdr:row>
      <xdr:rowOff>113241</xdr:rowOff>
    </xdr:to>
    <xdr:sp macro="" textlink="">
      <xdr:nvSpPr>
        <xdr:cNvPr id="10" name="Rounded Rectangle 15"/>
        <xdr:cNvSpPr/>
      </xdr:nvSpPr>
      <xdr:spPr>
        <a:xfrm>
          <a:off x="14935200" y="133350"/>
          <a:ext cx="793750" cy="370416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+mn-lt"/>
              <a:cs typeface="+mj-cs"/>
            </a:rPr>
            <a:t>RM36</a:t>
          </a:r>
          <a:endParaRPr lang="th-TH" sz="1800" b="1">
            <a:solidFill>
              <a:sysClr val="windowText" lastClr="000000"/>
            </a:solidFill>
            <a:latin typeface="+mn-lt"/>
            <a:cs typeface="+mj-cs"/>
          </a:endParaRPr>
        </a:p>
      </xdr:txBody>
    </xdr:sp>
    <xdr:clientData/>
  </xdr:twoCellAnchor>
  <xdr:twoCellAnchor>
    <xdr:from>
      <xdr:col>6</xdr:col>
      <xdr:colOff>214312</xdr:colOff>
      <xdr:row>11</xdr:row>
      <xdr:rowOff>83343</xdr:rowOff>
    </xdr:from>
    <xdr:to>
      <xdr:col>7</xdr:col>
      <xdr:colOff>190500</xdr:colOff>
      <xdr:row>11</xdr:row>
      <xdr:rowOff>250030</xdr:rowOff>
    </xdr:to>
    <xdr:grpSp>
      <xdr:nvGrpSpPr>
        <xdr:cNvPr id="9" name="Group 1"/>
        <xdr:cNvGrpSpPr/>
      </xdr:nvGrpSpPr>
      <xdr:grpSpPr>
        <a:xfrm>
          <a:off x="3124729" y="4337843"/>
          <a:ext cx="441854" cy="166687"/>
          <a:chOff x="5381625" y="5048250"/>
          <a:chExt cx="800100" cy="180975"/>
        </a:xfrm>
      </xdr:grpSpPr>
      <xdr:cxnSp macro="">
        <xdr:nvCxnSpPr>
          <xdr:cNvPr id="11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213783</xdr:colOff>
      <xdr:row>15</xdr:row>
      <xdr:rowOff>50799</xdr:rowOff>
    </xdr:from>
    <xdr:to>
      <xdr:col>5</xdr:col>
      <xdr:colOff>296333</xdr:colOff>
      <xdr:row>15</xdr:row>
      <xdr:rowOff>254000</xdr:rowOff>
    </xdr:to>
    <xdr:grpSp>
      <xdr:nvGrpSpPr>
        <xdr:cNvPr id="2" name="Group 1"/>
        <xdr:cNvGrpSpPr/>
      </xdr:nvGrpSpPr>
      <xdr:grpSpPr>
        <a:xfrm>
          <a:off x="2256366" y="5035549"/>
          <a:ext cx="569384" cy="203201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209550</xdr:colOff>
      <xdr:row>15</xdr:row>
      <xdr:rowOff>28576</xdr:rowOff>
    </xdr:from>
    <xdr:to>
      <xdr:col>11</xdr:col>
      <xdr:colOff>266700</xdr:colOff>
      <xdr:row>15</xdr:row>
      <xdr:rowOff>243417</xdr:rowOff>
    </xdr:to>
    <xdr:grpSp>
      <xdr:nvGrpSpPr>
        <xdr:cNvPr id="6" name="Group 5"/>
        <xdr:cNvGrpSpPr/>
      </xdr:nvGrpSpPr>
      <xdr:grpSpPr>
        <a:xfrm>
          <a:off x="5046133" y="5013326"/>
          <a:ext cx="533400" cy="214841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465667</xdr:colOff>
      <xdr:row>15</xdr:row>
      <xdr:rowOff>121709</xdr:rowOff>
    </xdr:from>
    <xdr:to>
      <xdr:col>25</xdr:col>
      <xdr:colOff>255059</xdr:colOff>
      <xdr:row>16</xdr:row>
      <xdr:rowOff>74083</xdr:rowOff>
    </xdr:to>
    <xdr:sp macro="" textlink="">
      <xdr:nvSpPr>
        <xdr:cNvPr id="10" name="Down Arrow 11"/>
        <xdr:cNvSpPr/>
      </xdr:nvSpPr>
      <xdr:spPr>
        <a:xfrm>
          <a:off x="11599334" y="5106459"/>
          <a:ext cx="276225" cy="291041"/>
        </a:xfrm>
        <a:prstGeom prst="downArrow">
          <a:avLst>
            <a:gd name="adj1" fmla="val 62766"/>
            <a:gd name="adj2" fmla="val 50000"/>
          </a:avLst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38</xdr:col>
      <xdr:colOff>148168</xdr:colOff>
      <xdr:row>18</xdr:row>
      <xdr:rowOff>158751</xdr:rowOff>
    </xdr:from>
    <xdr:to>
      <xdr:col>40</xdr:col>
      <xdr:colOff>243418</xdr:colOff>
      <xdr:row>24</xdr:row>
      <xdr:rowOff>95250</xdr:rowOff>
    </xdr:to>
    <xdr:sp macro="" textlink="">
      <xdr:nvSpPr>
        <xdr:cNvPr id="11" name="Rectangle 12"/>
        <xdr:cNvSpPr/>
      </xdr:nvSpPr>
      <xdr:spPr>
        <a:xfrm>
          <a:off x="18171585" y="6043084"/>
          <a:ext cx="1322916" cy="12699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</a:t>
          </a:r>
          <a:r>
            <a:rPr lang="en-US" sz="1100" u="none" baseline="0">
              <a:solidFill>
                <a:srgbClr val="0000FF"/>
              </a:solidFill>
            </a:rPr>
            <a:t>10</a:t>
          </a:r>
          <a:r>
            <a:rPr lang="th-TH" sz="1100" u="none" baseline="0">
              <a:solidFill>
                <a:srgbClr val="0000FF"/>
              </a:solidFill>
            </a:rPr>
            <a:t> ของเกษตรกรที่ผ่านการอบรมสามารถทำบัญชีต้นทุนอาชีพได้ใช้ข้อมูลทางบัญชีในการประกอบอาชีพได้</a:t>
          </a:r>
        </a:p>
      </xdr:txBody>
    </xdr:sp>
    <xdr:clientData/>
  </xdr:twoCellAnchor>
  <xdr:twoCellAnchor>
    <xdr:from>
      <xdr:col>19</xdr:col>
      <xdr:colOff>201083</xdr:colOff>
      <xdr:row>0</xdr:row>
      <xdr:rowOff>74083</xdr:rowOff>
    </xdr:from>
    <xdr:to>
      <xdr:col>20</xdr:col>
      <xdr:colOff>243409</xdr:colOff>
      <xdr:row>1</xdr:row>
      <xdr:rowOff>169333</xdr:rowOff>
    </xdr:to>
    <xdr:sp macro="" textlink="">
      <xdr:nvSpPr>
        <xdr:cNvPr id="12" name="Rounded Rectangle 13"/>
        <xdr:cNvSpPr/>
      </xdr:nvSpPr>
      <xdr:spPr>
        <a:xfrm>
          <a:off x="9535583" y="74083"/>
          <a:ext cx="825493" cy="381000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RM26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42334</xdr:colOff>
      <xdr:row>27</xdr:row>
      <xdr:rowOff>254000</xdr:rowOff>
    </xdr:from>
    <xdr:to>
      <xdr:col>28</xdr:col>
      <xdr:colOff>349250</xdr:colOff>
      <xdr:row>50</xdr:row>
      <xdr:rowOff>211666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4" y="8149167"/>
          <a:ext cx="12191999" cy="79904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127000</xdr:colOff>
      <xdr:row>31</xdr:row>
      <xdr:rowOff>169333</xdr:rowOff>
    </xdr:from>
    <xdr:to>
      <xdr:col>14</xdr:col>
      <xdr:colOff>381000</xdr:colOff>
      <xdr:row>35</xdr:row>
      <xdr:rowOff>285750</xdr:rowOff>
    </xdr:to>
    <xdr:sp macro="" textlink="">
      <xdr:nvSpPr>
        <xdr:cNvPr id="15" name="สี่เหลี่ยมผืนผ้า 14"/>
        <xdr:cNvSpPr/>
      </xdr:nvSpPr>
      <xdr:spPr>
        <a:xfrm>
          <a:off x="1195917" y="9461500"/>
          <a:ext cx="5842000" cy="1513417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395549</xdr:colOff>
      <xdr:row>75</xdr:row>
      <xdr:rowOff>31752</xdr:rowOff>
    </xdr:from>
    <xdr:to>
      <xdr:col>5</xdr:col>
      <xdr:colOff>416717</xdr:colOff>
      <xdr:row>76</xdr:row>
      <xdr:rowOff>71439</xdr:rowOff>
    </xdr:to>
    <xdr:grpSp>
      <xdr:nvGrpSpPr>
        <xdr:cNvPr id="6" name="Group 5"/>
        <xdr:cNvGrpSpPr/>
      </xdr:nvGrpSpPr>
      <xdr:grpSpPr>
        <a:xfrm>
          <a:off x="3443549" y="24638002"/>
          <a:ext cx="751418" cy="388937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204259</xdr:colOff>
      <xdr:row>75</xdr:row>
      <xdr:rowOff>59533</xdr:rowOff>
    </xdr:from>
    <xdr:to>
      <xdr:col>13</xdr:col>
      <xdr:colOff>535782</xdr:colOff>
      <xdr:row>77</xdr:row>
      <xdr:rowOff>202406</xdr:rowOff>
    </xdr:to>
    <xdr:sp macro="" textlink="">
      <xdr:nvSpPr>
        <xdr:cNvPr id="11" name="Down Arrow 10"/>
        <xdr:cNvSpPr/>
      </xdr:nvSpPr>
      <xdr:spPr>
        <a:xfrm>
          <a:off x="12098603" y="20978814"/>
          <a:ext cx="331523" cy="500061"/>
        </a:xfrm>
        <a:prstGeom prst="downArrow">
          <a:avLst>
            <a:gd name="adj1" fmla="val 50000"/>
            <a:gd name="adj2" fmla="val 53125"/>
          </a:avLst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12</xdr:col>
      <xdr:colOff>440535</xdr:colOff>
      <xdr:row>77</xdr:row>
      <xdr:rowOff>294480</xdr:rowOff>
    </xdr:from>
    <xdr:to>
      <xdr:col>14</xdr:col>
      <xdr:colOff>202409</xdr:colOff>
      <xdr:row>84</xdr:row>
      <xdr:rowOff>250031</xdr:rowOff>
    </xdr:to>
    <xdr:sp macro="" textlink="">
      <xdr:nvSpPr>
        <xdr:cNvPr id="12" name="Rectangle 11"/>
        <xdr:cNvSpPr/>
      </xdr:nvSpPr>
      <xdr:spPr>
        <a:xfrm>
          <a:off x="11918160" y="21701918"/>
          <a:ext cx="1047749" cy="226536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</a:t>
          </a:r>
          <a:r>
            <a:rPr lang="en-US" sz="1100" u="none" baseline="0">
              <a:solidFill>
                <a:srgbClr val="0000FF"/>
              </a:solidFill>
            </a:rPr>
            <a:t>40</a:t>
          </a:r>
          <a:r>
            <a:rPr lang="th-TH" sz="1100" u="none" baseline="0">
              <a:solidFill>
                <a:srgbClr val="0000FF"/>
              </a:solidFill>
            </a:rPr>
            <a:t> ของจำนวนเกษตรกรเป้าหมายมีขีดความสามารถในการจัดทำบัญชีต้นทุนอาชีพและทำเป็นประจำสม่ำเสมอ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13</xdr:col>
      <xdr:colOff>809626</xdr:colOff>
      <xdr:row>0</xdr:row>
      <xdr:rowOff>178595</xdr:rowOff>
    </xdr:from>
    <xdr:to>
      <xdr:col>14</xdr:col>
      <xdr:colOff>762000</xdr:colOff>
      <xdr:row>2</xdr:row>
      <xdr:rowOff>83345</xdr:rowOff>
    </xdr:to>
    <xdr:sp macro="" textlink="">
      <xdr:nvSpPr>
        <xdr:cNvPr id="10" name="Rounded Rectangle 9"/>
        <xdr:cNvSpPr/>
      </xdr:nvSpPr>
      <xdr:spPr>
        <a:xfrm>
          <a:off x="10239376" y="178595"/>
          <a:ext cx="821530" cy="452438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</a:rPr>
            <a:t>RM27</a:t>
          </a:r>
          <a:endParaRPr lang="th-TH" sz="18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209551</xdr:colOff>
      <xdr:row>13</xdr:row>
      <xdr:rowOff>47626</xdr:rowOff>
    </xdr:from>
    <xdr:to>
      <xdr:col>5</xdr:col>
      <xdr:colOff>219075</xdr:colOff>
      <xdr:row>13</xdr:row>
      <xdr:rowOff>209550</xdr:rowOff>
    </xdr:to>
    <xdr:grpSp>
      <xdr:nvGrpSpPr>
        <xdr:cNvPr id="4" name="Group 3"/>
        <xdr:cNvGrpSpPr/>
      </xdr:nvGrpSpPr>
      <xdr:grpSpPr>
        <a:xfrm>
          <a:off x="1781176" y="4724401"/>
          <a:ext cx="428624" cy="161924"/>
          <a:chOff x="5381625" y="5048250"/>
          <a:chExt cx="800100" cy="180975"/>
        </a:xfrm>
      </xdr:grpSpPr>
      <xdr:cxnSp macro="">
        <xdr:nvCxnSpPr>
          <xdr:cNvPr id="5" name="Straight Connector 4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180976</xdr:colOff>
      <xdr:row>13</xdr:row>
      <xdr:rowOff>19050</xdr:rowOff>
    </xdr:from>
    <xdr:to>
      <xdr:col>11</xdr:col>
      <xdr:colOff>238125</xdr:colOff>
      <xdr:row>13</xdr:row>
      <xdr:rowOff>190500</xdr:rowOff>
    </xdr:to>
    <xdr:grpSp>
      <xdr:nvGrpSpPr>
        <xdr:cNvPr id="8" name="Group 7"/>
        <xdr:cNvGrpSpPr/>
      </xdr:nvGrpSpPr>
      <xdr:grpSpPr>
        <a:xfrm>
          <a:off x="4076701" y="4695825"/>
          <a:ext cx="438149" cy="171450"/>
          <a:chOff x="5381625" y="5048250"/>
          <a:chExt cx="800100" cy="180975"/>
        </a:xfrm>
      </xdr:grpSpPr>
      <xdr:cxnSp macro="">
        <xdr:nvCxnSpPr>
          <xdr:cNvPr id="9" name="Straight Connector 8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Straight Connector 9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Straight Connector 10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190500</xdr:colOff>
      <xdr:row>13</xdr:row>
      <xdr:rowOff>9524</xdr:rowOff>
    </xdr:from>
    <xdr:to>
      <xdr:col>17</xdr:col>
      <xdr:colOff>219075</xdr:colOff>
      <xdr:row>13</xdr:row>
      <xdr:rowOff>228599</xdr:rowOff>
    </xdr:to>
    <xdr:grpSp>
      <xdr:nvGrpSpPr>
        <xdr:cNvPr id="12" name="Group 11"/>
        <xdr:cNvGrpSpPr/>
      </xdr:nvGrpSpPr>
      <xdr:grpSpPr>
        <a:xfrm>
          <a:off x="6391275" y="4686299"/>
          <a:ext cx="438150" cy="219075"/>
          <a:chOff x="5381625" y="5048250"/>
          <a:chExt cx="800100" cy="180975"/>
        </a:xfrm>
      </xdr:grpSpPr>
      <xdr:cxnSp macro="">
        <xdr:nvCxnSpPr>
          <xdr:cNvPr id="13" name="Straight Connector 1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341835</xdr:colOff>
      <xdr:row>14</xdr:row>
      <xdr:rowOff>103717</xdr:rowOff>
    </xdr:from>
    <xdr:to>
      <xdr:col>24</xdr:col>
      <xdr:colOff>198961</xdr:colOff>
      <xdr:row>15</xdr:row>
      <xdr:rowOff>141817</xdr:rowOff>
    </xdr:to>
    <xdr:sp macro="" textlink="">
      <xdr:nvSpPr>
        <xdr:cNvPr id="21" name="Down Arrow 20"/>
        <xdr:cNvSpPr/>
      </xdr:nvSpPr>
      <xdr:spPr>
        <a:xfrm>
          <a:off x="10882835" y="5310717"/>
          <a:ext cx="386293" cy="196850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22</xdr:col>
      <xdr:colOff>356657</xdr:colOff>
      <xdr:row>15</xdr:row>
      <xdr:rowOff>212722</xdr:rowOff>
    </xdr:from>
    <xdr:to>
      <xdr:col>25</xdr:col>
      <xdr:colOff>67733</xdr:colOff>
      <xdr:row>20</xdr:row>
      <xdr:rowOff>104775</xdr:rowOff>
    </xdr:to>
    <xdr:sp macro="" textlink="">
      <xdr:nvSpPr>
        <xdr:cNvPr id="22" name="Rectangle 21"/>
        <xdr:cNvSpPr/>
      </xdr:nvSpPr>
      <xdr:spPr>
        <a:xfrm>
          <a:off x="10205507" y="5556247"/>
          <a:ext cx="1177926" cy="103505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00" u="sng">
              <a:solidFill>
                <a:srgbClr val="0000FF"/>
              </a:solidFill>
            </a:rPr>
            <a:t>ตชว.</a:t>
          </a:r>
          <a:r>
            <a:rPr lang="th-TH" sz="10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000" u="none" baseline="0">
              <a:solidFill>
                <a:srgbClr val="0000FF"/>
              </a:solidFill>
            </a:rPr>
            <a:t>ร้อยละ </a:t>
          </a:r>
          <a:r>
            <a:rPr lang="en-US" sz="1000" u="none" baseline="0">
              <a:solidFill>
                <a:srgbClr val="0000FF"/>
              </a:solidFill>
            </a:rPr>
            <a:t>50</a:t>
          </a:r>
          <a:r>
            <a:rPr lang="th-TH" sz="1000" u="none" baseline="0">
              <a:solidFill>
                <a:srgbClr val="0000FF"/>
              </a:solidFill>
            </a:rPr>
            <a:t> ของเกษตรกรที่ผ่านการอบรมสามารถจัดทำบัญชีได้</a:t>
          </a:r>
          <a:endParaRPr lang="th-TH" sz="1000" u="none">
            <a:solidFill>
              <a:srgbClr val="0000FF"/>
            </a:solidFill>
          </a:endParaRPr>
        </a:p>
      </xdr:txBody>
    </xdr:sp>
    <xdr:clientData/>
  </xdr:twoCellAnchor>
  <xdr:twoCellAnchor>
    <xdr:from>
      <xdr:col>26</xdr:col>
      <xdr:colOff>28576</xdr:colOff>
      <xdr:row>0</xdr:row>
      <xdr:rowOff>190501</xdr:rowOff>
    </xdr:from>
    <xdr:to>
      <xdr:col>27</xdr:col>
      <xdr:colOff>338667</xdr:colOff>
      <xdr:row>1</xdr:row>
      <xdr:rowOff>238125</xdr:rowOff>
    </xdr:to>
    <xdr:sp macro="" textlink="">
      <xdr:nvSpPr>
        <xdr:cNvPr id="16" name="Rounded Rectangle 15"/>
        <xdr:cNvSpPr/>
      </xdr:nvSpPr>
      <xdr:spPr>
        <a:xfrm>
          <a:off x="11201401" y="190501"/>
          <a:ext cx="757766" cy="352424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ysClr val="windowText" lastClr="000000"/>
              </a:solidFill>
              <a:cs typeface="+mn-cs"/>
            </a:rPr>
            <a:t>RM28</a:t>
          </a:r>
          <a:endParaRPr lang="th-TH" sz="1600" b="1">
            <a:solidFill>
              <a:sysClr val="windowText" lastClr="000000"/>
            </a:solidFill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381002</xdr:colOff>
      <xdr:row>15</xdr:row>
      <xdr:rowOff>61381</xdr:rowOff>
    </xdr:from>
    <xdr:to>
      <xdr:col>7</xdr:col>
      <xdr:colOff>342903</xdr:colOff>
      <xdr:row>15</xdr:row>
      <xdr:rowOff>280456</xdr:rowOff>
    </xdr:to>
    <xdr:grpSp>
      <xdr:nvGrpSpPr>
        <xdr:cNvPr id="3" name="Group 2"/>
        <xdr:cNvGrpSpPr/>
      </xdr:nvGrpSpPr>
      <xdr:grpSpPr>
        <a:xfrm>
          <a:off x="5185835" y="4654548"/>
          <a:ext cx="723901" cy="219075"/>
          <a:chOff x="5381625" y="5048250"/>
          <a:chExt cx="800100" cy="180975"/>
        </a:xfrm>
      </xdr:grpSpPr>
      <xdr:cxnSp macro="">
        <xdr:nvCxnSpPr>
          <xdr:cNvPr id="4" name="Straight Connector 3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Straight Connector 5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190500</xdr:colOff>
      <xdr:row>0</xdr:row>
      <xdr:rowOff>95250</xdr:rowOff>
    </xdr:from>
    <xdr:to>
      <xdr:col>14</xdr:col>
      <xdr:colOff>451908</xdr:colOff>
      <xdr:row>1</xdr:row>
      <xdr:rowOff>137584</xdr:rowOff>
    </xdr:to>
    <xdr:sp macro="" textlink="">
      <xdr:nvSpPr>
        <xdr:cNvPr id="7" name="Rounded Rectangle 6"/>
        <xdr:cNvSpPr/>
      </xdr:nvSpPr>
      <xdr:spPr>
        <a:xfrm>
          <a:off x="9990667" y="95250"/>
          <a:ext cx="864658" cy="43391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+mn-lt"/>
              <a:cs typeface="+mj-cs"/>
            </a:rPr>
            <a:t>RM29</a:t>
          </a:r>
          <a:endParaRPr lang="th-TH" sz="1800" b="1">
            <a:solidFill>
              <a:sysClr val="windowText" lastClr="000000"/>
            </a:solidFill>
            <a:latin typeface="+mn-lt"/>
            <a:cs typeface="+mj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205839</xdr:colOff>
      <xdr:row>30</xdr:row>
      <xdr:rowOff>23281</xdr:rowOff>
    </xdr:from>
    <xdr:to>
      <xdr:col>4</xdr:col>
      <xdr:colOff>266700</xdr:colOff>
      <xdr:row>30</xdr:row>
      <xdr:rowOff>180975</xdr:rowOff>
    </xdr:to>
    <xdr:grpSp>
      <xdr:nvGrpSpPr>
        <xdr:cNvPr id="2" name="Group 1"/>
        <xdr:cNvGrpSpPr/>
      </xdr:nvGrpSpPr>
      <xdr:grpSpPr>
        <a:xfrm>
          <a:off x="1920339" y="9241364"/>
          <a:ext cx="505361" cy="157694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61</xdr:col>
      <xdr:colOff>523875</xdr:colOff>
      <xdr:row>45</xdr:row>
      <xdr:rowOff>11902</xdr:rowOff>
    </xdr:from>
    <xdr:to>
      <xdr:col>64</xdr:col>
      <xdr:colOff>38365</xdr:colOff>
      <xdr:row>64</xdr:row>
      <xdr:rowOff>95248</xdr:rowOff>
    </xdr:to>
    <xdr:sp macro="" textlink="">
      <xdr:nvSpPr>
        <xdr:cNvPr id="30" name="Rectangle 29"/>
        <xdr:cNvSpPr/>
      </xdr:nvSpPr>
      <xdr:spPr>
        <a:xfrm>
          <a:off x="16478250" y="6286496"/>
          <a:ext cx="978959" cy="194072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20 ของนักเรียนที่ได้รับการสอนแนะบัญชีต้นกล้าสามารถจัดทำบัญชีได้อย่างต่อเนื่องและมีเงินออม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70</xdr:col>
      <xdr:colOff>631035</xdr:colOff>
      <xdr:row>45</xdr:row>
      <xdr:rowOff>83344</xdr:rowOff>
    </xdr:from>
    <xdr:to>
      <xdr:col>72</xdr:col>
      <xdr:colOff>190499</xdr:colOff>
      <xdr:row>51</xdr:row>
      <xdr:rowOff>71437</xdr:rowOff>
    </xdr:to>
    <xdr:sp macro="" textlink="">
      <xdr:nvSpPr>
        <xdr:cNvPr id="31" name="Rectangle 30"/>
        <xdr:cNvSpPr/>
      </xdr:nvSpPr>
      <xdr:spPr>
        <a:xfrm>
          <a:off x="19026191" y="6357938"/>
          <a:ext cx="821527" cy="158353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</a:t>
          </a:r>
          <a:r>
            <a:rPr lang="en-US" sz="1100" u="none" baseline="0">
              <a:solidFill>
                <a:srgbClr val="0000FF"/>
              </a:solidFill>
            </a:rPr>
            <a:t>10</a:t>
          </a:r>
          <a:r>
            <a:rPr lang="th-TH" sz="1100" u="none" baseline="0">
              <a:solidFill>
                <a:srgbClr val="0000FF"/>
              </a:solidFill>
            </a:rPr>
            <a:t> ของผู้ปกครองสามารถจัดทำบัญชีได้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75</xdr:col>
      <xdr:colOff>154781</xdr:colOff>
      <xdr:row>0</xdr:row>
      <xdr:rowOff>47625</xdr:rowOff>
    </xdr:from>
    <xdr:to>
      <xdr:col>77</xdr:col>
      <xdr:colOff>237596</xdr:colOff>
      <xdr:row>1</xdr:row>
      <xdr:rowOff>215635</xdr:rowOff>
    </xdr:to>
    <xdr:sp macro="" textlink="">
      <xdr:nvSpPr>
        <xdr:cNvPr id="22" name="Rounded Rectangle 21"/>
        <xdr:cNvSpPr/>
      </xdr:nvSpPr>
      <xdr:spPr>
        <a:xfrm>
          <a:off x="22145625" y="47625"/>
          <a:ext cx="928159" cy="560916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000" b="1">
              <a:latin typeface="+mn-lt"/>
              <a:cs typeface="+mj-cs"/>
            </a:rPr>
            <a:t>RM34</a:t>
          </a:r>
          <a:endParaRPr lang="th-TH" sz="2000" b="1">
            <a:latin typeface="+mn-lt"/>
            <a:cs typeface="+mj-cs"/>
          </a:endParaRPr>
        </a:p>
      </xdr:txBody>
    </xdr:sp>
    <xdr:clientData/>
  </xdr:twoCellAnchor>
  <xdr:twoCellAnchor>
    <xdr:from>
      <xdr:col>36</xdr:col>
      <xdr:colOff>381000</xdr:colOff>
      <xdr:row>0</xdr:row>
      <xdr:rowOff>119062</xdr:rowOff>
    </xdr:from>
    <xdr:to>
      <xdr:col>38</xdr:col>
      <xdr:colOff>328877</xdr:colOff>
      <xdr:row>2</xdr:row>
      <xdr:rowOff>5291</xdr:rowOff>
    </xdr:to>
    <xdr:sp macro="" textlink="">
      <xdr:nvSpPr>
        <xdr:cNvPr id="35" name="Rounded Rectangle 6"/>
        <xdr:cNvSpPr/>
      </xdr:nvSpPr>
      <xdr:spPr>
        <a:xfrm>
          <a:off x="16132969" y="119062"/>
          <a:ext cx="864658" cy="433917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+mn-lt"/>
              <a:cs typeface="+mj-cs"/>
            </a:rPr>
            <a:t>RM30</a:t>
          </a:r>
          <a:endParaRPr lang="th-TH" sz="1800" b="1">
            <a:solidFill>
              <a:sysClr val="windowText" lastClr="000000"/>
            </a:solidFill>
            <a:latin typeface="+mn-lt"/>
            <a:cs typeface="+mj-cs"/>
          </a:endParaRPr>
        </a:p>
      </xdr:txBody>
    </xdr:sp>
    <xdr:clientData/>
  </xdr:twoCellAnchor>
  <xdr:twoCellAnchor>
    <xdr:from>
      <xdr:col>7</xdr:col>
      <xdr:colOff>264317</xdr:colOff>
      <xdr:row>30</xdr:row>
      <xdr:rowOff>16669</xdr:rowOff>
    </xdr:from>
    <xdr:to>
      <xdr:col>8</xdr:col>
      <xdr:colOff>228599</xdr:colOff>
      <xdr:row>30</xdr:row>
      <xdr:rowOff>190500</xdr:rowOff>
    </xdr:to>
    <xdr:grpSp>
      <xdr:nvGrpSpPr>
        <xdr:cNvPr id="10" name="Group 1"/>
        <xdr:cNvGrpSpPr/>
      </xdr:nvGrpSpPr>
      <xdr:grpSpPr>
        <a:xfrm>
          <a:off x="3735650" y="9234752"/>
          <a:ext cx="493449" cy="173831"/>
          <a:chOff x="5381625" y="5048250"/>
          <a:chExt cx="800100" cy="180975"/>
        </a:xfrm>
      </xdr:grpSpPr>
      <xdr:cxnSp macro="">
        <xdr:nvCxnSpPr>
          <xdr:cNvPr id="11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243418</xdr:colOff>
      <xdr:row>11</xdr:row>
      <xdr:rowOff>31750</xdr:rowOff>
    </xdr:from>
    <xdr:to>
      <xdr:col>5</xdr:col>
      <xdr:colOff>222251</xdr:colOff>
      <xdr:row>11</xdr:row>
      <xdr:rowOff>211667</xdr:rowOff>
    </xdr:to>
    <xdr:grpSp>
      <xdr:nvGrpSpPr>
        <xdr:cNvPr id="2" name="Group 1"/>
        <xdr:cNvGrpSpPr/>
      </xdr:nvGrpSpPr>
      <xdr:grpSpPr>
        <a:xfrm>
          <a:off x="2053168" y="3975100"/>
          <a:ext cx="474133" cy="179917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10</xdr:col>
      <xdr:colOff>211666</xdr:colOff>
      <xdr:row>11</xdr:row>
      <xdr:rowOff>31750</xdr:rowOff>
    </xdr:from>
    <xdr:to>
      <xdr:col>11</xdr:col>
      <xdr:colOff>232833</xdr:colOff>
      <xdr:row>11</xdr:row>
      <xdr:rowOff>232833</xdr:rowOff>
    </xdr:to>
    <xdr:grpSp>
      <xdr:nvGrpSpPr>
        <xdr:cNvPr id="6" name="Group 5"/>
        <xdr:cNvGrpSpPr/>
      </xdr:nvGrpSpPr>
      <xdr:grpSpPr>
        <a:xfrm>
          <a:off x="4374091" y="3975100"/>
          <a:ext cx="411692" cy="201083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23</xdr:col>
      <xdr:colOff>201082</xdr:colOff>
      <xdr:row>11</xdr:row>
      <xdr:rowOff>52917</xdr:rowOff>
    </xdr:from>
    <xdr:to>
      <xdr:col>24</xdr:col>
      <xdr:colOff>211665</xdr:colOff>
      <xdr:row>11</xdr:row>
      <xdr:rowOff>243416</xdr:rowOff>
    </xdr:to>
    <xdr:grpSp>
      <xdr:nvGrpSpPr>
        <xdr:cNvPr id="11" name="Group 10"/>
        <xdr:cNvGrpSpPr/>
      </xdr:nvGrpSpPr>
      <xdr:grpSpPr>
        <a:xfrm>
          <a:off x="9373657" y="3996267"/>
          <a:ext cx="391583" cy="190499"/>
          <a:chOff x="5381625" y="5048250"/>
          <a:chExt cx="800100" cy="180975"/>
        </a:xfrm>
      </xdr:grpSpPr>
      <xdr:cxnSp macro="">
        <xdr:nvCxnSpPr>
          <xdr:cNvPr id="12" name="Straight Connector 11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2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4" name="Straight Connector 13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38</xdr:col>
      <xdr:colOff>285749</xdr:colOff>
      <xdr:row>12</xdr:row>
      <xdr:rowOff>211667</xdr:rowOff>
    </xdr:from>
    <xdr:to>
      <xdr:col>40</xdr:col>
      <xdr:colOff>95250</xdr:colOff>
      <xdr:row>19</xdr:row>
      <xdr:rowOff>105833</xdr:rowOff>
    </xdr:to>
    <xdr:sp macro="" textlink="">
      <xdr:nvSpPr>
        <xdr:cNvPr id="17" name="Rectangle 16"/>
        <xdr:cNvSpPr/>
      </xdr:nvSpPr>
      <xdr:spPr>
        <a:xfrm>
          <a:off x="17176749" y="4656667"/>
          <a:ext cx="1037168" cy="196849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20 ของกลุ่มเป้าหมายตามโครงการพระราชดำริที่ผ่านการฝึกอบรมสามารถจัดทำบัญชีได้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39</xdr:col>
      <xdr:colOff>52919</xdr:colOff>
      <xdr:row>11</xdr:row>
      <xdr:rowOff>328084</xdr:rowOff>
    </xdr:from>
    <xdr:to>
      <xdr:col>39</xdr:col>
      <xdr:colOff>359837</xdr:colOff>
      <xdr:row>12</xdr:row>
      <xdr:rowOff>161926</xdr:rowOff>
    </xdr:to>
    <xdr:sp macro="" textlink="">
      <xdr:nvSpPr>
        <xdr:cNvPr id="18" name="Down Arrow 17"/>
        <xdr:cNvSpPr/>
      </xdr:nvSpPr>
      <xdr:spPr>
        <a:xfrm>
          <a:off x="17557752" y="4349751"/>
          <a:ext cx="306918" cy="257175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30</xdr:col>
      <xdr:colOff>42333</xdr:colOff>
      <xdr:row>0</xdr:row>
      <xdr:rowOff>148167</xdr:rowOff>
    </xdr:from>
    <xdr:to>
      <xdr:col>31</xdr:col>
      <xdr:colOff>476251</xdr:colOff>
      <xdr:row>1</xdr:row>
      <xdr:rowOff>190500</xdr:rowOff>
    </xdr:to>
    <xdr:sp macro="" textlink="">
      <xdr:nvSpPr>
        <xdr:cNvPr id="16" name="Rounded Rectangle 15"/>
        <xdr:cNvSpPr/>
      </xdr:nvSpPr>
      <xdr:spPr>
        <a:xfrm>
          <a:off x="11980333" y="148167"/>
          <a:ext cx="793751" cy="370416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+mn-lt"/>
              <a:cs typeface="+mj-cs"/>
            </a:rPr>
            <a:t>RM31</a:t>
          </a:r>
          <a:endParaRPr lang="th-TH" sz="1800" b="1">
            <a:solidFill>
              <a:sysClr val="windowText" lastClr="000000"/>
            </a:solidFill>
            <a:latin typeface="+mn-lt"/>
            <a:cs typeface="+mj-cs"/>
          </a:endParaRPr>
        </a:p>
      </xdr:txBody>
    </xdr:sp>
    <xdr:clientData/>
  </xdr:twoCellAnchor>
  <xdr:twoCellAnchor>
    <xdr:from>
      <xdr:col>16</xdr:col>
      <xdr:colOff>211667</xdr:colOff>
      <xdr:row>11</xdr:row>
      <xdr:rowOff>31750</xdr:rowOff>
    </xdr:from>
    <xdr:to>
      <xdr:col>17</xdr:col>
      <xdr:colOff>232834</xdr:colOff>
      <xdr:row>11</xdr:row>
      <xdr:rowOff>232833</xdr:rowOff>
    </xdr:to>
    <xdr:grpSp>
      <xdr:nvGrpSpPr>
        <xdr:cNvPr id="19" name="Group 5"/>
        <xdr:cNvGrpSpPr/>
      </xdr:nvGrpSpPr>
      <xdr:grpSpPr>
        <a:xfrm>
          <a:off x="6641042" y="3975100"/>
          <a:ext cx="411692" cy="201083"/>
          <a:chOff x="5381625" y="5048250"/>
          <a:chExt cx="800100" cy="180975"/>
        </a:xfrm>
      </xdr:grpSpPr>
      <xdr:cxnSp macro="">
        <xdr:nvCxnSpPr>
          <xdr:cNvPr id="20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1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201084</xdr:colOff>
      <xdr:row>10</xdr:row>
      <xdr:rowOff>52917</xdr:rowOff>
    </xdr:from>
    <xdr:to>
      <xdr:col>11</xdr:col>
      <xdr:colOff>179918</xdr:colOff>
      <xdr:row>10</xdr:row>
      <xdr:rowOff>228601</xdr:rowOff>
    </xdr:to>
    <xdr:grpSp>
      <xdr:nvGrpSpPr>
        <xdr:cNvPr id="2" name="Group 1"/>
        <xdr:cNvGrpSpPr/>
      </xdr:nvGrpSpPr>
      <xdr:grpSpPr>
        <a:xfrm>
          <a:off x="4230159" y="3853392"/>
          <a:ext cx="369359" cy="175684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22</xdr:col>
      <xdr:colOff>232833</xdr:colOff>
      <xdr:row>10</xdr:row>
      <xdr:rowOff>31751</xdr:rowOff>
    </xdr:from>
    <xdr:to>
      <xdr:col>23</xdr:col>
      <xdr:colOff>211667</xdr:colOff>
      <xdr:row>10</xdr:row>
      <xdr:rowOff>209551</xdr:rowOff>
    </xdr:to>
    <xdr:grpSp>
      <xdr:nvGrpSpPr>
        <xdr:cNvPr id="6" name="Group 5"/>
        <xdr:cNvGrpSpPr/>
      </xdr:nvGrpSpPr>
      <xdr:grpSpPr>
        <a:xfrm>
          <a:off x="9262533" y="3832226"/>
          <a:ext cx="388409" cy="177800"/>
          <a:chOff x="5381625" y="5048250"/>
          <a:chExt cx="800100" cy="180975"/>
        </a:xfrm>
      </xdr:grpSpPr>
      <xdr:cxnSp macro="">
        <xdr:nvCxnSpPr>
          <xdr:cNvPr id="7" name="Straight Connector 6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222250</xdr:colOff>
      <xdr:row>10</xdr:row>
      <xdr:rowOff>42335</xdr:rowOff>
    </xdr:from>
    <xdr:to>
      <xdr:col>5</xdr:col>
      <xdr:colOff>243417</xdr:colOff>
      <xdr:row>10</xdr:row>
      <xdr:rowOff>222251</xdr:rowOff>
    </xdr:to>
    <xdr:grpSp>
      <xdr:nvGrpSpPr>
        <xdr:cNvPr id="15" name="Group 14"/>
        <xdr:cNvGrpSpPr/>
      </xdr:nvGrpSpPr>
      <xdr:grpSpPr>
        <a:xfrm>
          <a:off x="2060575" y="3842810"/>
          <a:ext cx="402167" cy="179916"/>
          <a:chOff x="5381625" y="5048250"/>
          <a:chExt cx="800100" cy="180975"/>
        </a:xfrm>
      </xdr:grpSpPr>
      <xdr:cxnSp macro="">
        <xdr:nvCxnSpPr>
          <xdr:cNvPr id="16" name="Straight Connector 15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Straight Connector 17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222249</xdr:colOff>
      <xdr:row>10</xdr:row>
      <xdr:rowOff>31752</xdr:rowOff>
    </xdr:from>
    <xdr:to>
      <xdr:col>29</xdr:col>
      <xdr:colOff>243416</xdr:colOff>
      <xdr:row>10</xdr:row>
      <xdr:rowOff>222251</xdr:rowOff>
    </xdr:to>
    <xdr:grpSp>
      <xdr:nvGrpSpPr>
        <xdr:cNvPr id="23" name="Group 22"/>
        <xdr:cNvGrpSpPr/>
      </xdr:nvGrpSpPr>
      <xdr:grpSpPr>
        <a:xfrm>
          <a:off x="11404599" y="3832227"/>
          <a:ext cx="440267" cy="190499"/>
          <a:chOff x="5381625" y="5048250"/>
          <a:chExt cx="800100" cy="180975"/>
        </a:xfrm>
      </xdr:grpSpPr>
      <xdr:cxnSp macro="">
        <xdr:nvCxnSpPr>
          <xdr:cNvPr id="24" name="Straight Connector 23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Straight Connector 24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Straight Connector 25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19050</xdr:colOff>
      <xdr:row>12</xdr:row>
      <xdr:rowOff>13759</xdr:rowOff>
    </xdr:from>
    <xdr:to>
      <xdr:col>19</xdr:col>
      <xdr:colOff>0</xdr:colOff>
      <xdr:row>18</xdr:row>
      <xdr:rowOff>161925</xdr:rowOff>
    </xdr:to>
    <xdr:sp macro="" textlink="">
      <xdr:nvSpPr>
        <xdr:cNvPr id="27" name="Rectangle 26"/>
        <xdr:cNvSpPr/>
      </xdr:nvSpPr>
      <xdr:spPr>
        <a:xfrm>
          <a:off x="6838950" y="4652434"/>
          <a:ext cx="1266825" cy="146261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050" u="sng">
              <a:solidFill>
                <a:srgbClr val="0000FF"/>
              </a:solidFill>
            </a:rPr>
            <a:t>ตชว.</a:t>
          </a:r>
          <a:r>
            <a:rPr lang="th-TH" sz="105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050" u="none" baseline="0">
              <a:solidFill>
                <a:srgbClr val="0000FF"/>
              </a:solidFill>
            </a:rPr>
            <a:t>ร้อยละ 20 ของกลุ่มเป้าหมายตามโครงการพระราชดำริที่ผ่านการฝึกอบรมสามารถจัดทำบัญชีได้</a:t>
          </a:r>
          <a:endParaRPr lang="th-TH" sz="1050" u="none">
            <a:solidFill>
              <a:srgbClr val="0000FF"/>
            </a:solidFill>
          </a:endParaRPr>
        </a:p>
      </xdr:txBody>
    </xdr:sp>
    <xdr:clientData/>
  </xdr:twoCellAnchor>
  <xdr:twoCellAnchor>
    <xdr:from>
      <xdr:col>18</xdr:col>
      <xdr:colOff>116416</xdr:colOff>
      <xdr:row>11</xdr:row>
      <xdr:rowOff>52917</xdr:rowOff>
    </xdr:from>
    <xdr:to>
      <xdr:col>18</xdr:col>
      <xdr:colOff>539750</xdr:colOff>
      <xdr:row>11</xdr:row>
      <xdr:rowOff>357717</xdr:rowOff>
    </xdr:to>
    <xdr:sp macro="" textlink="">
      <xdr:nvSpPr>
        <xdr:cNvPr id="28" name="Down Arrow 27"/>
        <xdr:cNvSpPr/>
      </xdr:nvSpPr>
      <xdr:spPr>
        <a:xfrm>
          <a:off x="7260166" y="4286250"/>
          <a:ext cx="423334" cy="304800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32</xdr:col>
      <xdr:colOff>518583</xdr:colOff>
      <xdr:row>0</xdr:row>
      <xdr:rowOff>127000</xdr:rowOff>
    </xdr:from>
    <xdr:to>
      <xdr:col>34</xdr:col>
      <xdr:colOff>285750</xdr:colOff>
      <xdr:row>1</xdr:row>
      <xdr:rowOff>179916</xdr:rowOff>
    </xdr:to>
    <xdr:sp macro="" textlink="">
      <xdr:nvSpPr>
        <xdr:cNvPr id="21" name="Rounded Rectangle 15"/>
        <xdr:cNvSpPr/>
      </xdr:nvSpPr>
      <xdr:spPr>
        <a:xfrm>
          <a:off x="15292916" y="127000"/>
          <a:ext cx="793751" cy="370416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+mn-lt"/>
              <a:cs typeface="+mj-cs"/>
            </a:rPr>
            <a:t>RM32</a:t>
          </a:r>
          <a:endParaRPr lang="th-TH" sz="1800" b="1">
            <a:solidFill>
              <a:sysClr val="windowText" lastClr="000000"/>
            </a:solidFill>
            <a:latin typeface="+mn-lt"/>
            <a:cs typeface="+mj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201084</xdr:colOff>
      <xdr:row>10</xdr:row>
      <xdr:rowOff>52916</xdr:rowOff>
    </xdr:from>
    <xdr:to>
      <xdr:col>11</xdr:col>
      <xdr:colOff>179918</xdr:colOff>
      <xdr:row>10</xdr:row>
      <xdr:rowOff>253999</xdr:rowOff>
    </xdr:to>
    <xdr:grpSp>
      <xdr:nvGrpSpPr>
        <xdr:cNvPr id="2" name="Group 1"/>
        <xdr:cNvGrpSpPr/>
      </xdr:nvGrpSpPr>
      <xdr:grpSpPr>
        <a:xfrm>
          <a:off x="4649259" y="4053416"/>
          <a:ext cx="445559" cy="201083"/>
          <a:chOff x="5381625" y="5048250"/>
          <a:chExt cx="800100" cy="180975"/>
        </a:xfrm>
      </xdr:grpSpPr>
      <xdr:cxnSp macro="">
        <xdr:nvCxnSpPr>
          <xdr:cNvPr id="3" name="Straight Connector 2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Straight Connector 3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222250</xdr:colOff>
      <xdr:row>10</xdr:row>
      <xdr:rowOff>42334</xdr:rowOff>
    </xdr:from>
    <xdr:to>
      <xdr:col>5</xdr:col>
      <xdr:colOff>243417</xdr:colOff>
      <xdr:row>10</xdr:row>
      <xdr:rowOff>243417</xdr:rowOff>
    </xdr:to>
    <xdr:grpSp>
      <xdr:nvGrpSpPr>
        <xdr:cNvPr id="10" name="Group 14"/>
        <xdr:cNvGrpSpPr/>
      </xdr:nvGrpSpPr>
      <xdr:grpSpPr>
        <a:xfrm>
          <a:off x="2260600" y="4042834"/>
          <a:ext cx="487892" cy="201083"/>
          <a:chOff x="5381625" y="5048250"/>
          <a:chExt cx="800100" cy="180975"/>
        </a:xfrm>
      </xdr:grpSpPr>
      <xdr:cxnSp macro="">
        <xdr:nvCxnSpPr>
          <xdr:cNvPr id="11" name="Straight Connector 15"/>
          <xdr:cNvCxnSpPr/>
        </xdr:nvCxnSpPr>
        <xdr:spPr>
          <a:xfrm rot="5400000">
            <a:off x="5305425" y="5143500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Connector 16"/>
          <xdr:cNvCxnSpPr/>
        </xdr:nvCxnSpPr>
        <xdr:spPr>
          <a:xfrm>
            <a:off x="5381625" y="5229225"/>
            <a:ext cx="800100" cy="0"/>
          </a:xfrm>
          <a:prstGeom prst="line">
            <a:avLst/>
          </a:prstGeom>
          <a:ln w="25400">
            <a:solidFill>
              <a:srgbClr val="0000FF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Connector 17"/>
          <xdr:cNvCxnSpPr/>
        </xdr:nvCxnSpPr>
        <xdr:spPr>
          <a:xfrm rot="5400000">
            <a:off x="6086475" y="5133975"/>
            <a:ext cx="171450" cy="0"/>
          </a:xfrm>
          <a:prstGeom prst="line">
            <a:avLst/>
          </a:prstGeom>
          <a:ln w="25400">
            <a:solidFill>
              <a:srgbClr val="0000FF"/>
            </a:solidFill>
            <a:head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16</xdr:col>
      <xdr:colOff>412749</xdr:colOff>
      <xdr:row>12</xdr:row>
      <xdr:rowOff>42334</xdr:rowOff>
    </xdr:from>
    <xdr:to>
      <xdr:col>19</xdr:col>
      <xdr:colOff>116415</xdr:colOff>
      <xdr:row>17</xdr:row>
      <xdr:rowOff>190500</xdr:rowOff>
    </xdr:to>
    <xdr:sp macro="" textlink="">
      <xdr:nvSpPr>
        <xdr:cNvPr id="18" name="Rectangle 26"/>
        <xdr:cNvSpPr/>
      </xdr:nvSpPr>
      <xdr:spPr>
        <a:xfrm>
          <a:off x="6565899" y="4681009"/>
          <a:ext cx="1484841" cy="1243541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th-TH" sz="1100" u="sng">
              <a:solidFill>
                <a:srgbClr val="0000FF"/>
              </a:solidFill>
            </a:rPr>
            <a:t>ตชว.</a:t>
          </a:r>
          <a:r>
            <a:rPr lang="th-TH" sz="1100" u="sng" baseline="0">
              <a:solidFill>
                <a:srgbClr val="0000FF"/>
              </a:solidFill>
            </a:rPr>
            <a:t> เชิงคุณภาพ</a:t>
          </a:r>
        </a:p>
        <a:p>
          <a:pPr algn="ctr"/>
          <a:r>
            <a:rPr lang="th-TH" sz="1100" u="none" baseline="0">
              <a:solidFill>
                <a:srgbClr val="0000FF"/>
              </a:solidFill>
            </a:rPr>
            <a:t>ร้อยละ 20 ของกลุ่มเป้าหมายตามโครงการพระราชดำริที่ผ่านการฝึกอบรมสามารถจัดทำบัญชีได้</a:t>
          </a:r>
          <a:endParaRPr lang="th-TH" sz="1100" u="none">
            <a:solidFill>
              <a:srgbClr val="0000FF"/>
            </a:solidFill>
          </a:endParaRPr>
        </a:p>
      </xdr:txBody>
    </xdr:sp>
    <xdr:clientData/>
  </xdr:twoCellAnchor>
  <xdr:twoCellAnchor>
    <xdr:from>
      <xdr:col>18</xdr:col>
      <xdr:colOff>116416</xdr:colOff>
      <xdr:row>11</xdr:row>
      <xdr:rowOff>52917</xdr:rowOff>
    </xdr:from>
    <xdr:to>
      <xdr:col>18</xdr:col>
      <xdr:colOff>539750</xdr:colOff>
      <xdr:row>11</xdr:row>
      <xdr:rowOff>357717</xdr:rowOff>
    </xdr:to>
    <xdr:sp macro="" textlink="">
      <xdr:nvSpPr>
        <xdr:cNvPr id="19" name="Down Arrow 27"/>
        <xdr:cNvSpPr/>
      </xdr:nvSpPr>
      <xdr:spPr>
        <a:xfrm>
          <a:off x="7269691" y="4272492"/>
          <a:ext cx="423334" cy="304800"/>
        </a:xfrm>
        <a:prstGeom prst="downArrow">
          <a:avLst/>
        </a:prstGeom>
        <a:solidFill>
          <a:srgbClr val="3333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32</xdr:col>
      <xdr:colOff>518583</xdr:colOff>
      <xdr:row>0</xdr:row>
      <xdr:rowOff>127000</xdr:rowOff>
    </xdr:from>
    <xdr:to>
      <xdr:col>34</xdr:col>
      <xdr:colOff>285750</xdr:colOff>
      <xdr:row>1</xdr:row>
      <xdr:rowOff>179916</xdr:rowOff>
    </xdr:to>
    <xdr:sp macro="" textlink="">
      <xdr:nvSpPr>
        <xdr:cNvPr id="20" name="Rounded Rectangle 15"/>
        <xdr:cNvSpPr/>
      </xdr:nvSpPr>
      <xdr:spPr>
        <a:xfrm>
          <a:off x="13396383" y="127000"/>
          <a:ext cx="786342" cy="367241"/>
        </a:xfrm>
        <a:prstGeom prst="round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+mn-lt"/>
              <a:cs typeface="+mj-cs"/>
            </a:rPr>
            <a:t>RM35</a:t>
          </a:r>
          <a:endParaRPr lang="th-TH" sz="1800" b="1">
            <a:solidFill>
              <a:sysClr val="windowText" lastClr="000000"/>
            </a:solidFill>
            <a:latin typeface="+mn-lt"/>
            <a:cs typeface="+mj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31"/>
  <sheetViews>
    <sheetView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N18" sqref="N18"/>
    </sheetView>
  </sheetViews>
  <sheetFormatPr defaultRowHeight="27.75" customHeight="1"/>
  <cols>
    <col min="1" max="1" width="11.28515625" style="81" customWidth="1"/>
    <col min="2" max="2" width="6.5703125" style="54" customWidth="1"/>
    <col min="3" max="3" width="5.140625" style="54" customWidth="1"/>
    <col min="4" max="5" width="6.5703125" style="54" customWidth="1"/>
    <col min="6" max="6" width="7.7109375" style="54" customWidth="1"/>
    <col min="7" max="7" width="7" style="54" customWidth="1"/>
    <col min="8" max="8" width="11.140625" style="54" customWidth="1"/>
    <col min="9" max="9" width="4.85546875" style="54" customWidth="1"/>
    <col min="10" max="10" width="11.7109375" style="54" customWidth="1"/>
    <col min="11" max="11" width="11.28515625" style="54" customWidth="1"/>
    <col min="12" max="12" width="10.85546875" style="54" customWidth="1"/>
    <col min="13" max="13" width="8.28515625" style="54" customWidth="1"/>
    <col min="14" max="14" width="9.42578125" style="54" bestFit="1" customWidth="1"/>
    <col min="15" max="15" width="7.28515625" style="54" customWidth="1"/>
    <col min="16" max="16" width="9.42578125" style="54" bestFit="1" customWidth="1"/>
    <col min="17" max="17" width="10.5703125" style="54" customWidth="1"/>
    <col min="18" max="18" width="16" style="54" customWidth="1"/>
    <col min="19" max="19" width="8.28515625" style="54" customWidth="1"/>
    <col min="20" max="20" width="5.85546875" style="54" customWidth="1"/>
    <col min="21" max="22" width="9.140625" style="54" customWidth="1"/>
    <col min="23" max="23" width="6.5703125" style="54" customWidth="1"/>
    <col min="24" max="24" width="13.28515625" style="54" customWidth="1"/>
    <col min="25" max="25" width="12.28515625" style="54" customWidth="1"/>
    <col min="26" max="26" width="12.85546875" style="83" customWidth="1"/>
    <col min="27" max="28" width="9.140625" style="81" customWidth="1"/>
    <col min="29" max="29" width="14.7109375" style="81" customWidth="1"/>
    <col min="30" max="30" width="9.140625" style="81"/>
    <col min="31" max="31" width="10.7109375" style="81" bestFit="1" customWidth="1"/>
    <col min="32" max="16384" width="9.140625" style="81"/>
  </cols>
  <sheetData>
    <row r="1" spans="1:29" s="115" customFormat="1" ht="24" customHeight="1">
      <c r="A1" s="551" t="s">
        <v>227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</row>
    <row r="2" spans="1:29" s="115" customFormat="1" ht="18.75" customHeight="1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</row>
    <row r="3" spans="1:29" s="111" customFormat="1" ht="27" customHeight="1">
      <c r="A3" s="563" t="s">
        <v>225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</row>
    <row r="4" spans="1:29" s="111" customFormat="1" ht="25.5" customHeight="1">
      <c r="A4" s="564" t="s">
        <v>14</v>
      </c>
      <c r="B4" s="559" t="s">
        <v>96</v>
      </c>
      <c r="C4" s="560"/>
      <c r="D4" s="560"/>
      <c r="E4" s="560"/>
      <c r="F4" s="560"/>
      <c r="G4" s="561"/>
      <c r="H4" s="559" t="s">
        <v>37</v>
      </c>
      <c r="I4" s="560"/>
      <c r="J4" s="560"/>
      <c r="K4" s="560"/>
      <c r="L4" s="560"/>
      <c r="M4" s="561"/>
      <c r="N4" s="559" t="s">
        <v>55</v>
      </c>
      <c r="O4" s="560"/>
      <c r="P4" s="560"/>
      <c r="Q4" s="560"/>
      <c r="R4" s="560"/>
      <c r="S4" s="561"/>
      <c r="T4" s="572" t="s">
        <v>98</v>
      </c>
      <c r="U4" s="572"/>
      <c r="V4" s="572"/>
      <c r="W4" s="572"/>
      <c r="X4" s="572"/>
      <c r="Y4" s="572"/>
      <c r="Z4" s="573"/>
      <c r="AA4" s="567" t="s">
        <v>61</v>
      </c>
      <c r="AB4" s="567"/>
      <c r="AC4" s="567"/>
    </row>
    <row r="5" spans="1:29" s="111" customFormat="1" ht="28.5" customHeight="1">
      <c r="A5" s="565"/>
      <c r="B5" s="568" t="s">
        <v>25</v>
      </c>
      <c r="C5" s="568"/>
      <c r="D5" s="568"/>
      <c r="E5" s="552" t="s">
        <v>24</v>
      </c>
      <c r="F5" s="554" t="s">
        <v>56</v>
      </c>
      <c r="G5" s="555"/>
      <c r="H5" s="568" t="s">
        <v>25</v>
      </c>
      <c r="I5" s="568"/>
      <c r="J5" s="568"/>
      <c r="K5" s="552" t="s">
        <v>24</v>
      </c>
      <c r="L5" s="554" t="s">
        <v>56</v>
      </c>
      <c r="M5" s="555"/>
      <c r="N5" s="568" t="s">
        <v>25</v>
      </c>
      <c r="O5" s="568"/>
      <c r="P5" s="568"/>
      <c r="Q5" s="552" t="s">
        <v>24</v>
      </c>
      <c r="R5" s="554" t="s">
        <v>56</v>
      </c>
      <c r="S5" s="555"/>
      <c r="T5" s="568" t="s">
        <v>25</v>
      </c>
      <c r="U5" s="568"/>
      <c r="V5" s="568"/>
      <c r="W5" s="552" t="s">
        <v>24</v>
      </c>
      <c r="X5" s="554" t="s">
        <v>56</v>
      </c>
      <c r="Y5" s="574"/>
      <c r="Z5" s="555"/>
      <c r="AA5" s="567"/>
      <c r="AB5" s="567"/>
      <c r="AC5" s="567"/>
    </row>
    <row r="6" spans="1:29" s="111" customFormat="1" ht="26.25" customHeight="1">
      <c r="A6" s="565"/>
      <c r="B6" s="556" t="s">
        <v>1</v>
      </c>
      <c r="C6" s="556"/>
      <c r="D6" s="556"/>
      <c r="E6" s="552"/>
      <c r="F6" s="557" t="s">
        <v>97</v>
      </c>
      <c r="G6" s="557" t="s">
        <v>22</v>
      </c>
      <c r="H6" s="556" t="s">
        <v>1</v>
      </c>
      <c r="I6" s="556"/>
      <c r="J6" s="556"/>
      <c r="K6" s="552"/>
      <c r="L6" s="570" t="s">
        <v>57</v>
      </c>
      <c r="M6" s="557" t="s">
        <v>22</v>
      </c>
      <c r="N6" s="556" t="s">
        <v>1</v>
      </c>
      <c r="O6" s="556"/>
      <c r="P6" s="556"/>
      <c r="Q6" s="552"/>
      <c r="R6" s="570" t="s">
        <v>58</v>
      </c>
      <c r="S6" s="557" t="s">
        <v>22</v>
      </c>
      <c r="T6" s="556" t="s">
        <v>1</v>
      </c>
      <c r="U6" s="556"/>
      <c r="V6" s="556"/>
      <c r="W6" s="552"/>
      <c r="X6" s="557" t="s">
        <v>59</v>
      </c>
      <c r="Y6" s="557" t="s">
        <v>60</v>
      </c>
      <c r="Z6" s="557" t="s">
        <v>65</v>
      </c>
      <c r="AA6" s="569" t="s">
        <v>31</v>
      </c>
      <c r="AB6" s="569"/>
      <c r="AC6" s="567" t="s">
        <v>62</v>
      </c>
    </row>
    <row r="7" spans="1:29" s="111" customFormat="1" ht="45.75" customHeight="1">
      <c r="A7" s="566"/>
      <c r="B7" s="273">
        <v>1</v>
      </c>
      <c r="C7" s="273">
        <v>2</v>
      </c>
      <c r="D7" s="273" t="s">
        <v>3</v>
      </c>
      <c r="E7" s="553"/>
      <c r="F7" s="558"/>
      <c r="G7" s="558"/>
      <c r="H7" s="97">
        <v>1</v>
      </c>
      <c r="I7" s="97">
        <v>2</v>
      </c>
      <c r="J7" s="97" t="s">
        <v>3</v>
      </c>
      <c r="K7" s="553"/>
      <c r="L7" s="571"/>
      <c r="M7" s="558"/>
      <c r="N7" s="97">
        <v>2</v>
      </c>
      <c r="O7" s="97">
        <v>3</v>
      </c>
      <c r="P7" s="97" t="s">
        <v>3</v>
      </c>
      <c r="Q7" s="553"/>
      <c r="R7" s="571"/>
      <c r="S7" s="558"/>
      <c r="T7" s="97">
        <v>2</v>
      </c>
      <c r="U7" s="97">
        <v>3</v>
      </c>
      <c r="V7" s="97" t="s">
        <v>3</v>
      </c>
      <c r="W7" s="553"/>
      <c r="X7" s="558"/>
      <c r="Y7" s="558"/>
      <c r="Z7" s="558"/>
      <c r="AA7" s="117" t="s">
        <v>32</v>
      </c>
      <c r="AB7" s="117" t="s">
        <v>16</v>
      </c>
      <c r="AC7" s="567"/>
    </row>
    <row r="8" spans="1:29" s="115" customFormat="1" ht="20.25" customHeight="1">
      <c r="A8" s="277" t="s">
        <v>7</v>
      </c>
      <c r="B8" s="238">
        <f>0+60+0</f>
        <v>60</v>
      </c>
      <c r="C8" s="238"/>
      <c r="D8" s="238">
        <f>SUM(B8:C8)</f>
        <v>60</v>
      </c>
      <c r="E8" s="238">
        <f>0+60</f>
        <v>60</v>
      </c>
      <c r="F8" s="238">
        <v>60</v>
      </c>
      <c r="G8" s="238">
        <f t="shared" ref="G8:G15" si="0">F8*100/E8</f>
        <v>100</v>
      </c>
      <c r="H8" s="66">
        <f>1000+400+400</f>
        <v>1800</v>
      </c>
      <c r="I8" s="66"/>
      <c r="J8" s="66">
        <f>SUM(H8:I8)</f>
        <v>1800</v>
      </c>
      <c r="K8" s="67">
        <f>H8</f>
        <v>1800</v>
      </c>
      <c r="L8" s="515">
        <v>1800</v>
      </c>
      <c r="M8" s="68">
        <f>L8*100/K8</f>
        <v>100</v>
      </c>
      <c r="N8" s="66">
        <f>25+191+0</f>
        <v>216</v>
      </c>
      <c r="O8" s="66"/>
      <c r="P8" s="66">
        <f>SUM(N8:O8)</f>
        <v>216</v>
      </c>
      <c r="Q8" s="462">
        <v>25</v>
      </c>
      <c r="R8" s="68">
        <v>65</v>
      </c>
      <c r="S8" s="69">
        <f>R8*100/Q8</f>
        <v>260</v>
      </c>
      <c r="T8" s="66"/>
      <c r="U8" s="66">
        <f>25+191+0</f>
        <v>216</v>
      </c>
      <c r="V8" s="66">
        <f>SUM(T8:U8)</f>
        <v>216</v>
      </c>
      <c r="W8" s="67"/>
      <c r="X8" s="70"/>
      <c r="Y8" s="70"/>
      <c r="Z8" s="70"/>
      <c r="AA8" s="71"/>
      <c r="AB8" s="118"/>
      <c r="AC8" s="119"/>
    </row>
    <row r="9" spans="1:29" s="115" customFormat="1" ht="20.25" customHeight="1">
      <c r="A9" s="278" t="s">
        <v>8</v>
      </c>
      <c r="B9" s="260">
        <f>0+40+0</f>
        <v>40</v>
      </c>
      <c r="C9" s="239"/>
      <c r="D9" s="239">
        <f>SUM(B9:C9)</f>
        <v>40</v>
      </c>
      <c r="E9" s="239">
        <f>0+40</f>
        <v>40</v>
      </c>
      <c r="F9" s="260">
        <v>40</v>
      </c>
      <c r="G9" s="239"/>
      <c r="H9" s="34">
        <f>0+0+1200</f>
        <v>1200</v>
      </c>
      <c r="I9" s="34"/>
      <c r="J9" s="34">
        <f>SUM(H9:I9)</f>
        <v>1200</v>
      </c>
      <c r="K9" s="35">
        <f>H9</f>
        <v>1200</v>
      </c>
      <c r="L9" s="539">
        <v>1200</v>
      </c>
      <c r="M9" s="540">
        <f>L9*100/K9</f>
        <v>100</v>
      </c>
      <c r="N9" s="34"/>
      <c r="O9" s="34">
        <f>144+0+0</f>
        <v>144</v>
      </c>
      <c r="P9" s="34">
        <f>SUM(N9:O9)</f>
        <v>144</v>
      </c>
      <c r="Q9" s="463"/>
      <c r="R9" s="36"/>
      <c r="S9" s="37"/>
      <c r="T9" s="34"/>
      <c r="U9" s="34">
        <f>0+0+144</f>
        <v>144</v>
      </c>
      <c r="V9" s="34">
        <f>SUM(T9:U9)</f>
        <v>144</v>
      </c>
      <c r="W9" s="35"/>
      <c r="X9" s="11"/>
      <c r="Y9" s="11"/>
      <c r="Z9" s="11"/>
      <c r="AA9" s="227"/>
      <c r="AB9" s="11"/>
      <c r="AC9" s="260"/>
    </row>
    <row r="10" spans="1:29" s="115" customFormat="1" ht="20.25" customHeight="1">
      <c r="A10" s="278" t="s">
        <v>9</v>
      </c>
      <c r="B10" s="239">
        <f>0+50+0</f>
        <v>50</v>
      </c>
      <c r="C10" s="239"/>
      <c r="D10" s="239">
        <f t="shared" ref="D10:D14" si="1">SUM(B10:C10)</f>
        <v>50</v>
      </c>
      <c r="E10" s="239">
        <f>0+50</f>
        <v>50</v>
      </c>
      <c r="F10" s="260">
        <v>50</v>
      </c>
      <c r="G10" s="239">
        <f t="shared" si="0"/>
        <v>100</v>
      </c>
      <c r="H10" s="34">
        <f>0+0+1670</f>
        <v>1670</v>
      </c>
      <c r="I10" s="34"/>
      <c r="J10" s="34">
        <f>SUM(H10:I10)</f>
        <v>1670</v>
      </c>
      <c r="K10" s="35">
        <f t="shared" ref="K10:K14" si="2">H10</f>
        <v>1670</v>
      </c>
      <c r="L10" s="539">
        <v>1670</v>
      </c>
      <c r="M10" s="540">
        <f t="shared" ref="M10:M14" si="3">L10*100/K10</f>
        <v>100</v>
      </c>
      <c r="N10" s="34">
        <f>0+0+200</f>
        <v>200</v>
      </c>
      <c r="O10" s="34"/>
      <c r="P10" s="34">
        <f>SUM(N10:O10)</f>
        <v>200</v>
      </c>
      <c r="Q10" s="463"/>
      <c r="R10" s="36"/>
      <c r="S10" s="37"/>
      <c r="T10" s="34"/>
      <c r="U10" s="34">
        <f>0+0+200</f>
        <v>200</v>
      </c>
      <c r="V10" s="34">
        <f t="shared" ref="V10:V14" si="4">SUM(T10:U10)</f>
        <v>200</v>
      </c>
      <c r="W10" s="35"/>
      <c r="X10" s="11"/>
      <c r="Y10" s="11"/>
      <c r="Z10" s="11"/>
      <c r="AA10" s="38"/>
      <c r="AB10" s="11"/>
      <c r="AC10" s="120"/>
    </row>
    <row r="11" spans="1:29" s="115" customFormat="1" ht="20.25" customHeight="1">
      <c r="A11" s="278" t="s">
        <v>10</v>
      </c>
      <c r="B11" s="239">
        <f>0+85+0</f>
        <v>85</v>
      </c>
      <c r="C11" s="239"/>
      <c r="D11" s="239">
        <f t="shared" si="1"/>
        <v>85</v>
      </c>
      <c r="E11" s="239">
        <f>0+85</f>
        <v>85</v>
      </c>
      <c r="F11" s="260">
        <v>85</v>
      </c>
      <c r="G11" s="239">
        <f t="shared" si="0"/>
        <v>100</v>
      </c>
      <c r="H11" s="34">
        <f>0+1000+1670</f>
        <v>2670</v>
      </c>
      <c r="I11" s="34"/>
      <c r="J11" s="34">
        <f t="shared" ref="J11:J14" si="5">SUM(H11:I11)</f>
        <v>2670</v>
      </c>
      <c r="K11" s="35">
        <f t="shared" si="2"/>
        <v>2670</v>
      </c>
      <c r="L11" s="539">
        <v>2670</v>
      </c>
      <c r="M11" s="540">
        <f t="shared" si="3"/>
        <v>100</v>
      </c>
      <c r="N11" s="34">
        <f>0+0+120</f>
        <v>120</v>
      </c>
      <c r="O11" s="34">
        <f>200+0+0</f>
        <v>200</v>
      </c>
      <c r="P11" s="34">
        <f t="shared" ref="P11:P14" si="6">SUM(N11:O11)</f>
        <v>320</v>
      </c>
      <c r="Q11" s="463"/>
      <c r="R11" s="36"/>
      <c r="S11" s="65"/>
      <c r="T11" s="34"/>
      <c r="U11" s="34">
        <f>0+120+200</f>
        <v>320</v>
      </c>
      <c r="V11" s="34">
        <f t="shared" si="4"/>
        <v>320</v>
      </c>
      <c r="W11" s="35"/>
      <c r="X11" s="11"/>
      <c r="Y11" s="11"/>
      <c r="Z11" s="11"/>
      <c r="AA11" s="227"/>
      <c r="AB11" s="11"/>
      <c r="AC11" s="120"/>
    </row>
    <row r="12" spans="1:29" s="115" customFormat="1" ht="20.25" customHeight="1">
      <c r="A12" s="278" t="s">
        <v>11</v>
      </c>
      <c r="B12" s="239">
        <f>0+40+0</f>
        <v>40</v>
      </c>
      <c r="C12" s="239"/>
      <c r="D12" s="239">
        <f t="shared" si="1"/>
        <v>40</v>
      </c>
      <c r="E12" s="239">
        <f>0+40</f>
        <v>40</v>
      </c>
      <c r="F12" s="260">
        <v>40</v>
      </c>
      <c r="G12" s="239">
        <f t="shared" si="0"/>
        <v>100</v>
      </c>
      <c r="H12" s="34">
        <f>0+600+600</f>
        <v>1200</v>
      </c>
      <c r="I12" s="34"/>
      <c r="J12" s="34">
        <f t="shared" si="5"/>
        <v>1200</v>
      </c>
      <c r="K12" s="35">
        <f t="shared" si="2"/>
        <v>1200</v>
      </c>
      <c r="L12" s="539">
        <v>1200</v>
      </c>
      <c r="M12" s="540">
        <f t="shared" si="3"/>
        <v>100</v>
      </c>
      <c r="N12" s="34">
        <f>0+0+144</f>
        <v>144</v>
      </c>
      <c r="O12" s="34"/>
      <c r="P12" s="34">
        <f t="shared" si="6"/>
        <v>144</v>
      </c>
      <c r="Q12" s="463"/>
      <c r="R12" s="36"/>
      <c r="S12" s="37"/>
      <c r="T12" s="34"/>
      <c r="U12" s="34">
        <f>0+144+0</f>
        <v>144</v>
      </c>
      <c r="V12" s="34">
        <f t="shared" si="4"/>
        <v>144</v>
      </c>
      <c r="W12" s="35"/>
      <c r="X12" s="11"/>
      <c r="Y12" s="11"/>
      <c r="Z12" s="11"/>
      <c r="AA12" s="38"/>
      <c r="AB12" s="11"/>
      <c r="AC12" s="120"/>
    </row>
    <row r="13" spans="1:29" s="115" customFormat="1" ht="20.25" customHeight="1">
      <c r="A13" s="278" t="s">
        <v>12</v>
      </c>
      <c r="B13" s="239">
        <f>0+90+0</f>
        <v>90</v>
      </c>
      <c r="C13" s="239"/>
      <c r="D13" s="239">
        <f t="shared" si="1"/>
        <v>90</v>
      </c>
      <c r="E13" s="239">
        <f>0+90</f>
        <v>90</v>
      </c>
      <c r="F13" s="511">
        <v>102</v>
      </c>
      <c r="G13" s="239">
        <f t="shared" si="0"/>
        <v>113.33333333333333</v>
      </c>
      <c r="H13" s="34">
        <f>0+980+1800</f>
        <v>2780</v>
      </c>
      <c r="I13" s="34"/>
      <c r="J13" s="34">
        <f t="shared" si="5"/>
        <v>2780</v>
      </c>
      <c r="K13" s="35">
        <f t="shared" si="2"/>
        <v>2780</v>
      </c>
      <c r="L13" s="516">
        <v>2772</v>
      </c>
      <c r="M13" s="512">
        <f t="shared" si="3"/>
        <v>99.712230215827333</v>
      </c>
      <c r="N13" s="34">
        <f>0+165+168</f>
        <v>333</v>
      </c>
      <c r="O13" s="34"/>
      <c r="P13" s="34">
        <f t="shared" si="6"/>
        <v>333</v>
      </c>
      <c r="Q13" s="463"/>
      <c r="R13" s="36"/>
      <c r="S13" s="65"/>
      <c r="T13" s="34"/>
      <c r="U13" s="34">
        <f>0+165+168</f>
        <v>333</v>
      </c>
      <c r="V13" s="34">
        <f t="shared" si="4"/>
        <v>333</v>
      </c>
      <c r="W13" s="35"/>
      <c r="X13" s="11"/>
      <c r="Y13" s="11"/>
      <c r="Z13" s="11"/>
      <c r="AA13" s="38"/>
      <c r="AB13" s="11"/>
      <c r="AC13" s="120"/>
    </row>
    <row r="14" spans="1:29" s="115" customFormat="1" ht="20.25" customHeight="1">
      <c r="A14" s="278" t="s">
        <v>13</v>
      </c>
      <c r="B14" s="239">
        <f>0+40+0</f>
        <v>40</v>
      </c>
      <c r="C14" s="239"/>
      <c r="D14" s="239">
        <f t="shared" si="1"/>
        <v>40</v>
      </c>
      <c r="E14" s="239">
        <f>0+40</f>
        <v>40</v>
      </c>
      <c r="F14" s="239">
        <v>40</v>
      </c>
      <c r="G14" s="239">
        <f t="shared" si="0"/>
        <v>100</v>
      </c>
      <c r="H14" s="34">
        <f>0+0+1200</f>
        <v>1200</v>
      </c>
      <c r="I14" s="34"/>
      <c r="J14" s="34">
        <f t="shared" si="5"/>
        <v>1200</v>
      </c>
      <c r="K14" s="35">
        <f t="shared" si="2"/>
        <v>1200</v>
      </c>
      <c r="L14" s="539">
        <v>1200</v>
      </c>
      <c r="M14" s="541">
        <f t="shared" si="3"/>
        <v>100</v>
      </c>
      <c r="N14" s="34">
        <f>0+0+144</f>
        <v>144</v>
      </c>
      <c r="O14" s="34"/>
      <c r="P14" s="34">
        <f t="shared" si="6"/>
        <v>144</v>
      </c>
      <c r="Q14" s="463"/>
      <c r="R14" s="36"/>
      <c r="S14" s="37"/>
      <c r="T14" s="34"/>
      <c r="U14" s="34">
        <f>0+72+72</f>
        <v>144</v>
      </c>
      <c r="V14" s="34">
        <f t="shared" si="4"/>
        <v>144</v>
      </c>
      <c r="W14" s="35"/>
      <c r="X14" s="72"/>
      <c r="Y14" s="72"/>
      <c r="Z14" s="72"/>
      <c r="AA14" s="38"/>
      <c r="AB14" s="11"/>
      <c r="AC14" s="120"/>
    </row>
    <row r="15" spans="1:29" s="115" customFormat="1" ht="20.25" customHeight="1">
      <c r="A15" s="121"/>
      <c r="B15" s="279">
        <f>SUM(B8:B14)</f>
        <v>405</v>
      </c>
      <c r="C15" s="279"/>
      <c r="D15" s="279">
        <f>SUM(D8:D14)</f>
        <v>405</v>
      </c>
      <c r="E15" s="279">
        <f>SUM(E8:E14)</f>
        <v>405</v>
      </c>
      <c r="F15" s="279">
        <f>SUM(F8:F14)</f>
        <v>417</v>
      </c>
      <c r="G15" s="279">
        <f t="shared" si="0"/>
        <v>102.96296296296296</v>
      </c>
      <c r="H15" s="122">
        <f>SUM(H8:H14)</f>
        <v>12520</v>
      </c>
      <c r="I15" s="122">
        <f t="shared" ref="I15" si="7">SUM(I8:I14)</f>
        <v>0</v>
      </c>
      <c r="J15" s="122">
        <f>SUM(J8:J14)</f>
        <v>12520</v>
      </c>
      <c r="K15" s="122">
        <f>SUM(K8:K14)</f>
        <v>12520</v>
      </c>
      <c r="L15" s="122">
        <f>SUM(L8:L14)</f>
        <v>12512</v>
      </c>
      <c r="M15" s="513">
        <f>L15*100/K15</f>
        <v>99.936102236421732</v>
      </c>
      <c r="N15" s="122">
        <f>SUM(N8:N14)</f>
        <v>1157</v>
      </c>
      <c r="O15" s="122">
        <f>SUM(O8:O14)</f>
        <v>344</v>
      </c>
      <c r="P15" s="122">
        <f>SUM(N15:O15)</f>
        <v>1501</v>
      </c>
      <c r="Q15" s="123">
        <f>SUM(Q8:Q14)</f>
        <v>25</v>
      </c>
      <c r="R15" s="123">
        <f>SUM(R8:R14)</f>
        <v>65</v>
      </c>
      <c r="S15" s="122">
        <f>R15*100/Q15</f>
        <v>260</v>
      </c>
      <c r="T15" s="122"/>
      <c r="U15" s="122">
        <f>SUM(U8:U14)</f>
        <v>1501</v>
      </c>
      <c r="V15" s="122">
        <f>SUM(V8:V14)</f>
        <v>1501</v>
      </c>
      <c r="W15" s="122"/>
      <c r="X15" s="122"/>
      <c r="Y15" s="122"/>
      <c r="Z15" s="250"/>
      <c r="AA15" s="122"/>
      <c r="AB15" s="123"/>
      <c r="AC15" s="123"/>
    </row>
    <row r="16" spans="1:29" ht="14.25">
      <c r="K16" s="124"/>
      <c r="Q16" s="124"/>
    </row>
    <row r="17" spans="2:31" ht="33" customHeight="1">
      <c r="K17" s="124"/>
      <c r="N17" s="242"/>
      <c r="Q17" s="124"/>
      <c r="W17" s="124"/>
    </row>
    <row r="18" spans="2:31" ht="22.5" customHeight="1">
      <c r="K18" s="124"/>
    </row>
    <row r="19" spans="2:31" ht="22.5" customHeight="1" thickBot="1">
      <c r="K19" s="124"/>
    </row>
    <row r="20" spans="2:31" ht="22.5" customHeight="1">
      <c r="B20" s="280" t="s">
        <v>45</v>
      </c>
      <c r="C20" s="289"/>
      <c r="D20" s="289"/>
      <c r="E20" s="289"/>
      <c r="F20" s="289"/>
      <c r="G20" s="282"/>
      <c r="H20" s="282"/>
      <c r="I20" s="290"/>
      <c r="J20" s="290"/>
      <c r="K20" s="290"/>
      <c r="L20" s="290"/>
      <c r="M20" s="290"/>
      <c r="N20" s="290"/>
      <c r="O20" s="290"/>
      <c r="P20" s="284"/>
      <c r="Z20" s="54"/>
      <c r="AA20" s="54"/>
      <c r="AB20" s="54"/>
      <c r="AC20" s="54"/>
      <c r="AD20" s="54"/>
      <c r="AE20" s="83"/>
    </row>
    <row r="21" spans="2:31" ht="24.75" customHeight="1">
      <c r="B21" s="304" t="s">
        <v>14</v>
      </c>
      <c r="C21" s="292" t="s">
        <v>99</v>
      </c>
      <c r="D21" s="292"/>
      <c r="E21" s="292"/>
      <c r="F21" s="292"/>
      <c r="G21" s="285"/>
      <c r="H21" s="285"/>
      <c r="I21" s="293"/>
      <c r="J21" s="293"/>
      <c r="K21" s="293"/>
      <c r="L21" s="293"/>
      <c r="M21" s="293"/>
      <c r="N21" s="293"/>
      <c r="O21" s="292" t="s">
        <v>104</v>
      </c>
      <c r="P21" s="294"/>
      <c r="Z21" s="54"/>
      <c r="AA21" s="54"/>
      <c r="AB21" s="54"/>
      <c r="AC21" s="54"/>
      <c r="AD21" s="54"/>
      <c r="AE21" s="83"/>
    </row>
    <row r="22" spans="2:31" ht="24.75" customHeight="1">
      <c r="B22" s="291"/>
      <c r="C22" s="298" t="s">
        <v>100</v>
      </c>
      <c r="D22" s="298"/>
      <c r="E22" s="298"/>
      <c r="F22" s="298"/>
      <c r="G22" s="299"/>
      <c r="H22" s="299"/>
      <c r="I22" s="300"/>
      <c r="J22" s="300"/>
      <c r="K22" s="300"/>
      <c r="L22" s="300"/>
      <c r="M22" s="300"/>
      <c r="N22" s="300"/>
      <c r="O22" s="547" t="s">
        <v>70</v>
      </c>
      <c r="P22" s="548"/>
      <c r="Z22" s="54"/>
      <c r="AA22" s="54"/>
      <c r="AB22" s="54"/>
      <c r="AC22" s="54"/>
      <c r="AD22" s="48"/>
      <c r="AE22" s="48"/>
    </row>
    <row r="23" spans="2:31" ht="24.75" customHeight="1">
      <c r="B23" s="291"/>
      <c r="C23" s="301" t="s">
        <v>101</v>
      </c>
      <c r="D23" s="301"/>
      <c r="E23" s="301"/>
      <c r="F23" s="301"/>
      <c r="G23" s="302"/>
      <c r="H23" s="302"/>
      <c r="I23" s="303"/>
      <c r="J23" s="303"/>
      <c r="K23" s="303"/>
      <c r="L23" s="303"/>
      <c r="M23" s="303"/>
      <c r="N23" s="303"/>
      <c r="O23" s="549"/>
      <c r="P23" s="550"/>
      <c r="Z23" s="54"/>
      <c r="AA23" s="54"/>
      <c r="AB23" s="54"/>
      <c r="AC23" s="54"/>
      <c r="AD23" s="48"/>
      <c r="AE23" s="48"/>
    </row>
    <row r="24" spans="2:31" ht="24.75" customHeight="1">
      <c r="B24" s="291"/>
      <c r="C24" s="298" t="s">
        <v>102</v>
      </c>
      <c r="D24" s="298"/>
      <c r="E24" s="298"/>
      <c r="F24" s="298"/>
      <c r="G24" s="299"/>
      <c r="H24" s="299"/>
      <c r="I24" s="300"/>
      <c r="J24" s="300"/>
      <c r="K24" s="300"/>
      <c r="L24" s="300"/>
      <c r="M24" s="300"/>
      <c r="N24" s="300"/>
      <c r="O24" s="547" t="s">
        <v>74</v>
      </c>
      <c r="P24" s="548"/>
      <c r="Z24" s="54"/>
      <c r="AA24" s="54"/>
      <c r="AB24" s="54"/>
      <c r="AC24" s="54"/>
      <c r="AD24" s="48"/>
      <c r="AE24" s="48"/>
    </row>
    <row r="25" spans="2:31" ht="24.75" customHeight="1">
      <c r="B25" s="291"/>
      <c r="C25" s="301" t="s">
        <v>103</v>
      </c>
      <c r="D25" s="301"/>
      <c r="E25" s="301"/>
      <c r="F25" s="301"/>
      <c r="G25" s="302"/>
      <c r="H25" s="302"/>
      <c r="I25" s="303"/>
      <c r="J25" s="303"/>
      <c r="K25" s="303"/>
      <c r="L25" s="303"/>
      <c r="M25" s="303"/>
      <c r="N25" s="303"/>
      <c r="O25" s="549"/>
      <c r="P25" s="550"/>
      <c r="Z25" s="54"/>
      <c r="AA25" s="54"/>
      <c r="AB25" s="54"/>
      <c r="AC25" s="54"/>
      <c r="AD25" s="48"/>
      <c r="AE25" s="48"/>
    </row>
    <row r="26" spans="2:31" ht="9.75" customHeight="1">
      <c r="B26" s="291"/>
      <c r="C26" s="292"/>
      <c r="D26" s="292"/>
      <c r="E26" s="292"/>
      <c r="F26" s="292"/>
      <c r="G26" s="285"/>
      <c r="H26" s="285"/>
      <c r="I26" s="293"/>
      <c r="J26" s="293"/>
      <c r="K26" s="293"/>
      <c r="L26" s="293"/>
      <c r="M26" s="293"/>
      <c r="N26" s="293"/>
      <c r="O26" s="292"/>
      <c r="P26" s="294"/>
      <c r="Z26" s="54"/>
      <c r="AA26" s="54"/>
      <c r="AB26" s="54"/>
      <c r="AC26" s="54"/>
      <c r="AD26" s="48"/>
      <c r="AE26" s="48"/>
    </row>
    <row r="27" spans="2:31" ht="24.75" customHeight="1">
      <c r="B27" s="304" t="s">
        <v>30</v>
      </c>
      <c r="C27" s="292" t="s">
        <v>105</v>
      </c>
      <c r="D27" s="292"/>
      <c r="E27" s="292"/>
      <c r="F27" s="292"/>
      <c r="G27" s="286"/>
      <c r="H27" s="293"/>
      <c r="I27" s="292"/>
      <c r="J27" s="292"/>
      <c r="K27" s="292"/>
      <c r="L27" s="292"/>
      <c r="M27" s="292"/>
      <c r="N27" s="292"/>
      <c r="O27" s="292" t="s">
        <v>71</v>
      </c>
      <c r="P27" s="294"/>
      <c r="Z27" s="54"/>
      <c r="AA27" s="54"/>
      <c r="AB27" s="54"/>
      <c r="AC27" s="54"/>
      <c r="AD27" s="48"/>
      <c r="AE27" s="48"/>
    </row>
    <row r="28" spans="2:31" ht="24.75" customHeight="1" thickBot="1">
      <c r="B28" s="295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7"/>
      <c r="Z28" s="54"/>
      <c r="AA28" s="54"/>
      <c r="AB28" s="54"/>
      <c r="AC28" s="54"/>
      <c r="AD28" s="48"/>
      <c r="AE28" s="48"/>
    </row>
    <row r="29" spans="2:31" ht="27.75" customHeight="1">
      <c r="B29" s="48"/>
      <c r="C29" s="48"/>
      <c r="D29" s="48"/>
      <c r="E29" s="48"/>
      <c r="F29" s="48"/>
      <c r="G29" s="48"/>
      <c r="Y29" s="48"/>
      <c r="Z29" s="48"/>
    </row>
    <row r="30" spans="2:31" ht="9" customHeight="1">
      <c r="B30" s="213"/>
      <c r="C30" s="213"/>
      <c r="D30" s="213"/>
      <c r="E30" s="213"/>
      <c r="F30" s="213"/>
      <c r="G30" s="213"/>
      <c r="Y30" s="48"/>
      <c r="Z30" s="48"/>
    </row>
    <row r="31" spans="2:31" ht="27.75" customHeight="1">
      <c r="C31" s="546"/>
      <c r="D31" s="546"/>
    </row>
  </sheetData>
  <mergeCells count="39">
    <mergeCell ref="S6:S7"/>
    <mergeCell ref="B5:D5"/>
    <mergeCell ref="H6:J6"/>
    <mergeCell ref="L6:L7"/>
    <mergeCell ref="H5:J5"/>
    <mergeCell ref="K5:K7"/>
    <mergeCell ref="L5:M5"/>
    <mergeCell ref="AA4:AC5"/>
    <mergeCell ref="R5:S5"/>
    <mergeCell ref="T5:V5"/>
    <mergeCell ref="W5:W7"/>
    <mergeCell ref="AA6:AB6"/>
    <mergeCell ref="AC6:AC7"/>
    <mergeCell ref="Y6:Y7"/>
    <mergeCell ref="Z6:Z7"/>
    <mergeCell ref="R6:R7"/>
    <mergeCell ref="T6:V6"/>
    <mergeCell ref="X6:X7"/>
    <mergeCell ref="N4:S4"/>
    <mergeCell ref="T4:Z4"/>
    <mergeCell ref="X5:Z5"/>
    <mergeCell ref="N5:P5"/>
    <mergeCell ref="Q5:Q7"/>
    <mergeCell ref="C31:D31"/>
    <mergeCell ref="O22:P23"/>
    <mergeCell ref="O24:P25"/>
    <mergeCell ref="A1:Z1"/>
    <mergeCell ref="E5:E7"/>
    <mergeCell ref="F5:G5"/>
    <mergeCell ref="B6:D6"/>
    <mergeCell ref="F6:F7"/>
    <mergeCell ref="G6:G7"/>
    <mergeCell ref="M6:M7"/>
    <mergeCell ref="N6:P6"/>
    <mergeCell ref="B4:G4"/>
    <mergeCell ref="A2:Z2"/>
    <mergeCell ref="A3:Z3"/>
    <mergeCell ref="A4:A7"/>
    <mergeCell ref="H4:M4"/>
  </mergeCells>
  <printOptions horizontalCentered="1"/>
  <pageMargins left="0" right="0" top="0" bottom="0" header="0.51181102362204722" footer="0.51181102362204722"/>
  <pageSetup paperSize="9" scale="60" orientation="landscape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1"/>
  <sheetViews>
    <sheetView zoomScale="90" zoomScaleNormal="90" workbookViewId="0">
      <selection activeCell="K10" sqref="K10"/>
    </sheetView>
  </sheetViews>
  <sheetFormatPr defaultRowHeight="27.75" customHeight="1"/>
  <cols>
    <col min="1" max="1" width="11" style="54" customWidth="1"/>
    <col min="2" max="2" width="7.7109375" style="54" customWidth="1"/>
    <col min="3" max="3" width="7.5703125" style="54" customWidth="1"/>
    <col min="4" max="5" width="6.140625" style="54" customWidth="1"/>
    <col min="6" max="6" width="4.85546875" style="54" customWidth="1"/>
    <col min="7" max="7" width="7" style="54" customWidth="1"/>
    <col min="8" max="8" width="6" style="54" customWidth="1"/>
    <col min="9" max="9" width="8.42578125" style="54" customWidth="1"/>
    <col min="10" max="13" width="4.5703125" style="54" customWidth="1"/>
    <col min="14" max="14" width="5.28515625" style="54" customWidth="1"/>
    <col min="15" max="15" width="6.28515625" style="54" customWidth="1"/>
    <col min="16" max="19" width="5.28515625" style="54" customWidth="1"/>
    <col min="20" max="20" width="9.140625" style="54" customWidth="1"/>
    <col min="21" max="21" width="6.42578125" style="54" customWidth="1"/>
    <col min="22" max="23" width="6.140625" style="187" customWidth="1"/>
    <col min="24" max="24" width="7" style="187" customWidth="1"/>
    <col min="25" max="25" width="8.42578125" style="54" customWidth="1"/>
    <col min="26" max="26" width="6.140625" style="54" customWidth="1"/>
    <col min="27" max="27" width="8.7109375" style="187" customWidth="1"/>
    <col min="28" max="28" width="5.28515625" style="187" customWidth="1"/>
    <col min="29" max="29" width="6.140625" style="187" customWidth="1"/>
    <col min="30" max="30" width="8" style="187" customWidth="1"/>
    <col min="31" max="31" width="6.140625" style="187" customWidth="1"/>
    <col min="32" max="32" width="4.85546875" style="187" customWidth="1"/>
    <col min="33" max="33" width="6.140625" style="187" customWidth="1"/>
    <col min="34" max="34" width="6.5703125" style="187" customWidth="1"/>
    <col min="35" max="35" width="9.5703125" style="54" customWidth="1"/>
    <col min="36" max="36" width="4.85546875" style="54" customWidth="1"/>
    <col min="37" max="37" width="4.5703125" style="54" customWidth="1"/>
    <col min="38" max="38" width="6.5703125" style="54" customWidth="1"/>
    <col min="39" max="45" width="9.140625" style="54"/>
    <col min="46" max="49" width="9.140625" style="81"/>
    <col min="50" max="16384" width="9.140625" style="54"/>
  </cols>
  <sheetData>
    <row r="1" spans="1:55" ht="30.75" customHeight="1">
      <c r="A1" s="551" t="str">
        <f>'(PD-RD1)_พัฒนาภูมิปัญญาฯ'!A1:Z1</f>
        <v>รายละเอียดแผนการปฏิบัติงานและความก้าวหน้าผลการปฏิบัติงาน ณ วันที่  31  มกราคม 2559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</row>
    <row r="2" spans="1:55" ht="22.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</row>
    <row r="3" spans="1:55" s="59" customFormat="1" ht="27" customHeight="1">
      <c r="A3" s="423" t="s">
        <v>188</v>
      </c>
      <c r="B3" s="80"/>
      <c r="C3" s="80"/>
      <c r="V3" s="184"/>
      <c r="W3" s="184"/>
      <c r="X3" s="185"/>
      <c r="AA3" s="185"/>
      <c r="AB3" s="184"/>
      <c r="AC3" s="184"/>
      <c r="AD3" s="184"/>
      <c r="AE3" s="184"/>
      <c r="AF3" s="184"/>
      <c r="AG3" s="184"/>
      <c r="AH3" s="184"/>
      <c r="AT3" s="63"/>
      <c r="AU3" s="63"/>
      <c r="AV3" s="63"/>
      <c r="AW3" s="63"/>
    </row>
    <row r="4" spans="1:55" s="59" customFormat="1" ht="24" customHeight="1">
      <c r="A4" s="719" t="s">
        <v>14</v>
      </c>
      <c r="B4" s="720" t="s">
        <v>77</v>
      </c>
      <c r="C4" s="720"/>
      <c r="D4" s="727" t="s">
        <v>75</v>
      </c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728"/>
      <c r="T4" s="728"/>
      <c r="U4" s="728"/>
      <c r="V4" s="728"/>
      <c r="W4" s="728"/>
      <c r="X4" s="728"/>
      <c r="Y4" s="728"/>
      <c r="Z4" s="728"/>
      <c r="AA4" s="728"/>
      <c r="AB4" s="728"/>
      <c r="AC4" s="729"/>
      <c r="AD4" s="724" t="s">
        <v>78</v>
      </c>
      <c r="AE4" s="725"/>
      <c r="AF4" s="725"/>
      <c r="AG4" s="725"/>
      <c r="AH4" s="726"/>
      <c r="AI4" s="600" t="s">
        <v>72</v>
      </c>
      <c r="AJ4" s="691"/>
      <c r="AK4" s="691"/>
      <c r="AL4" s="692"/>
      <c r="AT4" s="63"/>
      <c r="AU4" s="63"/>
      <c r="AV4" s="63"/>
      <c r="AW4" s="63"/>
    </row>
    <row r="5" spans="1:55" s="59" customFormat="1" ht="24" customHeight="1">
      <c r="A5" s="719"/>
      <c r="B5" s="720"/>
      <c r="C5" s="720"/>
      <c r="D5" s="659" t="s">
        <v>39</v>
      </c>
      <c r="E5" s="659"/>
      <c r="F5" s="659"/>
      <c r="G5" s="659"/>
      <c r="H5" s="659"/>
      <c r="I5" s="660"/>
      <c r="J5" s="658" t="s">
        <v>89</v>
      </c>
      <c r="K5" s="659"/>
      <c r="L5" s="659"/>
      <c r="M5" s="659"/>
      <c r="N5" s="659"/>
      <c r="O5" s="659"/>
      <c r="P5" s="659"/>
      <c r="Q5" s="659"/>
      <c r="R5" s="659"/>
      <c r="S5" s="660"/>
      <c r="T5" s="703" t="s">
        <v>79</v>
      </c>
      <c r="U5" s="704"/>
      <c r="V5" s="704"/>
      <c r="W5" s="704"/>
      <c r="X5" s="704"/>
      <c r="Y5" s="704"/>
      <c r="Z5" s="704"/>
      <c r="AA5" s="704"/>
      <c r="AB5" s="704"/>
      <c r="AC5" s="705"/>
      <c r="AD5" s="721" t="s">
        <v>191</v>
      </c>
      <c r="AE5" s="722"/>
      <c r="AF5" s="722"/>
      <c r="AG5" s="722"/>
      <c r="AH5" s="723"/>
      <c r="AI5" s="693"/>
      <c r="AJ5" s="694"/>
      <c r="AK5" s="694"/>
      <c r="AL5" s="695"/>
      <c r="AT5" s="63"/>
      <c r="AU5" s="63"/>
      <c r="AV5" s="63"/>
      <c r="AW5" s="63"/>
    </row>
    <row r="6" spans="1:55" s="59" customFormat="1" ht="33.75" customHeight="1">
      <c r="A6" s="719"/>
      <c r="B6" s="720"/>
      <c r="C6" s="720"/>
      <c r="D6" s="662"/>
      <c r="E6" s="662"/>
      <c r="F6" s="662"/>
      <c r="G6" s="662"/>
      <c r="H6" s="662"/>
      <c r="I6" s="663"/>
      <c r="J6" s="661"/>
      <c r="K6" s="662"/>
      <c r="L6" s="662"/>
      <c r="M6" s="662"/>
      <c r="N6" s="662"/>
      <c r="O6" s="662"/>
      <c r="P6" s="662"/>
      <c r="Q6" s="662"/>
      <c r="R6" s="662"/>
      <c r="S6" s="663"/>
      <c r="T6" s="706" t="s">
        <v>88</v>
      </c>
      <c r="U6" s="707"/>
      <c r="V6" s="707"/>
      <c r="W6" s="707"/>
      <c r="X6" s="708"/>
      <c r="Y6" s="706" t="s">
        <v>86</v>
      </c>
      <c r="Z6" s="707"/>
      <c r="AA6" s="707"/>
      <c r="AB6" s="707"/>
      <c r="AC6" s="708"/>
      <c r="AD6" s="706" t="s">
        <v>86</v>
      </c>
      <c r="AE6" s="707"/>
      <c r="AF6" s="707"/>
      <c r="AG6" s="707"/>
      <c r="AH6" s="708"/>
      <c r="AI6" s="699" t="s">
        <v>42</v>
      </c>
      <c r="AJ6" s="700"/>
      <c r="AK6" s="700"/>
      <c r="AL6" s="701"/>
      <c r="AT6" s="63"/>
      <c r="AU6" s="63"/>
      <c r="AV6" s="63"/>
      <c r="AW6" s="63"/>
    </row>
    <row r="7" spans="1:55" s="59" customFormat="1" ht="36" customHeight="1">
      <c r="A7" s="719"/>
      <c r="B7" s="702" t="s">
        <v>38</v>
      </c>
      <c r="C7" s="702" t="s">
        <v>73</v>
      </c>
      <c r="D7" s="698" t="s">
        <v>25</v>
      </c>
      <c r="E7" s="582"/>
      <c r="F7" s="582"/>
      <c r="G7" s="582"/>
      <c r="H7" s="592" t="s">
        <v>19</v>
      </c>
      <c r="I7" s="593"/>
      <c r="J7" s="582" t="s">
        <v>17</v>
      </c>
      <c r="K7" s="582"/>
      <c r="L7" s="582"/>
      <c r="M7" s="582"/>
      <c r="N7" s="582"/>
      <c r="O7" s="582"/>
      <c r="P7" s="592" t="s">
        <v>19</v>
      </c>
      <c r="Q7" s="667"/>
      <c r="R7" s="667"/>
      <c r="S7" s="593"/>
      <c r="T7" s="710" t="s">
        <v>190</v>
      </c>
      <c r="U7" s="711"/>
      <c r="V7" s="715" t="s">
        <v>94</v>
      </c>
      <c r="W7" s="716"/>
      <c r="X7" s="717"/>
      <c r="Y7" s="710" t="s">
        <v>190</v>
      </c>
      <c r="Z7" s="711"/>
      <c r="AA7" s="715" t="s">
        <v>76</v>
      </c>
      <c r="AB7" s="716"/>
      <c r="AC7" s="717"/>
      <c r="AD7" s="710" t="s">
        <v>31</v>
      </c>
      <c r="AE7" s="711"/>
      <c r="AF7" s="715" t="s">
        <v>76</v>
      </c>
      <c r="AG7" s="716"/>
      <c r="AH7" s="717"/>
      <c r="AI7" s="604" t="s">
        <v>31</v>
      </c>
      <c r="AJ7" s="605"/>
      <c r="AK7" s="606"/>
      <c r="AL7" s="668" t="s">
        <v>4</v>
      </c>
      <c r="AT7" s="63"/>
      <c r="AU7" s="63"/>
      <c r="AV7" s="63"/>
      <c r="AW7" s="63"/>
    </row>
    <row r="8" spans="1:55" s="59" customFormat="1" ht="23.25" customHeight="1">
      <c r="A8" s="719"/>
      <c r="B8" s="702"/>
      <c r="C8" s="702"/>
      <c r="D8" s="698" t="s">
        <v>1</v>
      </c>
      <c r="E8" s="582"/>
      <c r="F8" s="582"/>
      <c r="G8" s="599" t="s">
        <v>24</v>
      </c>
      <c r="H8" s="594"/>
      <c r="I8" s="595"/>
      <c r="J8" s="582" t="s">
        <v>1</v>
      </c>
      <c r="K8" s="582"/>
      <c r="L8" s="582"/>
      <c r="M8" s="582"/>
      <c r="N8" s="582"/>
      <c r="O8" s="599" t="s">
        <v>24</v>
      </c>
      <c r="P8" s="594"/>
      <c r="Q8" s="709"/>
      <c r="R8" s="709"/>
      <c r="S8" s="595"/>
      <c r="T8" s="627" t="s">
        <v>40</v>
      </c>
      <c r="U8" s="713" t="s">
        <v>16</v>
      </c>
      <c r="V8" s="696" t="s">
        <v>27</v>
      </c>
      <c r="W8" s="696" t="s">
        <v>28</v>
      </c>
      <c r="X8" s="696" t="s">
        <v>41</v>
      </c>
      <c r="Y8" s="627" t="s">
        <v>40</v>
      </c>
      <c r="Z8" s="713" t="s">
        <v>16</v>
      </c>
      <c r="AA8" s="696" t="s">
        <v>27</v>
      </c>
      <c r="AB8" s="696" t="s">
        <v>28</v>
      </c>
      <c r="AC8" s="696" t="s">
        <v>41</v>
      </c>
      <c r="AD8" s="627" t="s">
        <v>40</v>
      </c>
      <c r="AE8" s="713" t="s">
        <v>16</v>
      </c>
      <c r="AF8" s="696" t="s">
        <v>27</v>
      </c>
      <c r="AG8" s="696" t="s">
        <v>28</v>
      </c>
      <c r="AH8" s="696" t="s">
        <v>41</v>
      </c>
      <c r="AI8" s="657" t="s">
        <v>32</v>
      </c>
      <c r="AJ8" s="600" t="s">
        <v>16</v>
      </c>
      <c r="AK8" s="601"/>
      <c r="AL8" s="712"/>
      <c r="AT8" s="63"/>
      <c r="AU8" s="63"/>
      <c r="AV8" s="63"/>
      <c r="AW8" s="63"/>
    </row>
    <row r="9" spans="1:55" s="59" customFormat="1" ht="23.25" customHeight="1">
      <c r="A9" s="719"/>
      <c r="B9" s="702"/>
      <c r="C9" s="702"/>
      <c r="D9" s="192">
        <v>1</v>
      </c>
      <c r="E9" s="125">
        <v>2</v>
      </c>
      <c r="F9" s="125" t="s">
        <v>3</v>
      </c>
      <c r="G9" s="553"/>
      <c r="H9" s="116" t="s">
        <v>20</v>
      </c>
      <c r="I9" s="116" t="s">
        <v>2</v>
      </c>
      <c r="J9" s="125">
        <v>1</v>
      </c>
      <c r="K9" s="125">
        <v>2</v>
      </c>
      <c r="L9" s="125">
        <v>3</v>
      </c>
      <c r="M9" s="125">
        <v>4</v>
      </c>
      <c r="N9" s="125" t="s">
        <v>3</v>
      </c>
      <c r="O9" s="553"/>
      <c r="P9" s="241" t="s">
        <v>64</v>
      </c>
      <c r="Q9" s="228" t="s">
        <v>29</v>
      </c>
      <c r="R9" s="116" t="s">
        <v>2</v>
      </c>
      <c r="S9" s="116" t="s">
        <v>20</v>
      </c>
      <c r="T9" s="628"/>
      <c r="U9" s="714"/>
      <c r="V9" s="697"/>
      <c r="W9" s="697"/>
      <c r="X9" s="697"/>
      <c r="Y9" s="628"/>
      <c r="Z9" s="714"/>
      <c r="AA9" s="697"/>
      <c r="AB9" s="697"/>
      <c r="AC9" s="697"/>
      <c r="AD9" s="628"/>
      <c r="AE9" s="714"/>
      <c r="AF9" s="697"/>
      <c r="AG9" s="697"/>
      <c r="AH9" s="697"/>
      <c r="AI9" s="657"/>
      <c r="AJ9" s="602"/>
      <c r="AK9" s="603"/>
      <c r="AL9" s="669"/>
      <c r="AT9" s="63"/>
      <c r="AU9" s="63"/>
      <c r="AV9" s="63"/>
      <c r="AW9" s="63"/>
    </row>
    <row r="10" spans="1:55" s="59" customFormat="1" ht="45" customHeight="1">
      <c r="A10" s="44" t="s">
        <v>8</v>
      </c>
      <c r="B10" s="425">
        <v>10</v>
      </c>
      <c r="C10" s="425">
        <v>2</v>
      </c>
      <c r="D10" s="197">
        <f>0+0+10</f>
        <v>10</v>
      </c>
      <c r="E10" s="197"/>
      <c r="F10" s="197">
        <f>SUM(D10:E10)</f>
        <v>10</v>
      </c>
      <c r="G10" s="198">
        <f>D10</f>
        <v>10</v>
      </c>
      <c r="H10" s="47">
        <v>10</v>
      </c>
      <c r="I10" s="199">
        <f>H10*100/G10</f>
        <v>100</v>
      </c>
      <c r="J10" s="197">
        <f>0+0+10</f>
        <v>10</v>
      </c>
      <c r="K10" s="197">
        <f>0+0+10</f>
        <v>10</v>
      </c>
      <c r="L10" s="197">
        <f>0+0+10</f>
        <v>10</v>
      </c>
      <c r="M10" s="197">
        <f>0+10+0</f>
        <v>10</v>
      </c>
      <c r="N10" s="197">
        <f>SUM(J10:M10)</f>
        <v>40</v>
      </c>
      <c r="O10" s="198">
        <f>J10</f>
        <v>10</v>
      </c>
      <c r="P10" s="233">
        <v>10</v>
      </c>
      <c r="Q10" s="19">
        <v>10</v>
      </c>
      <c r="R10" s="19">
        <f>Q10*100/O10</f>
        <v>100</v>
      </c>
      <c r="S10" s="233">
        <v>20</v>
      </c>
      <c r="T10" s="426" t="s">
        <v>189</v>
      </c>
      <c r="U10" s="427">
        <v>10</v>
      </c>
      <c r="V10" s="47"/>
      <c r="W10" s="144"/>
      <c r="X10" s="144"/>
      <c r="Y10" s="426" t="s">
        <v>192</v>
      </c>
      <c r="Z10" s="427">
        <v>10</v>
      </c>
      <c r="AA10" s="144"/>
      <c r="AB10" s="144"/>
      <c r="AC10" s="144"/>
      <c r="AD10" s="426" t="s">
        <v>192</v>
      </c>
      <c r="AE10" s="427">
        <v>2</v>
      </c>
      <c r="AF10" s="144"/>
      <c r="AG10" s="144"/>
      <c r="AH10" s="144"/>
      <c r="AI10" s="221">
        <v>21732</v>
      </c>
      <c r="AJ10" s="687">
        <v>2</v>
      </c>
      <c r="AK10" s="688"/>
      <c r="AL10" s="126"/>
      <c r="AT10" s="63"/>
      <c r="AU10" s="63"/>
      <c r="AV10" s="63"/>
      <c r="AW10" s="63"/>
      <c r="BB10" s="59">
        <f>SUM(AW10:AY10)</f>
        <v>0</v>
      </c>
    </row>
    <row r="11" spans="1:55" s="59" customFormat="1" ht="45" customHeight="1">
      <c r="A11" s="74" t="s">
        <v>6</v>
      </c>
      <c r="B11" s="43">
        <f>SUM(B10:B10)</f>
        <v>10</v>
      </c>
      <c r="C11" s="43">
        <f>SUM(C10:C10)</f>
        <v>2</v>
      </c>
      <c r="D11" s="29">
        <f>SUM(D10:D10)</f>
        <v>10</v>
      </c>
      <c r="E11" s="29"/>
      <c r="F11" s="29">
        <f>SUM(F10:F10)</f>
        <v>10</v>
      </c>
      <c r="G11" s="30">
        <f>SUM(G10:G10)</f>
        <v>10</v>
      </c>
      <c r="H11" s="19">
        <f>SUM(H10)</f>
        <v>10</v>
      </c>
      <c r="I11" s="19">
        <f>H11*100/G11</f>
        <v>100</v>
      </c>
      <c r="J11" s="29">
        <f t="shared" ref="J11:O11" si="0">SUM(J10:J10)</f>
        <v>10</v>
      </c>
      <c r="K11" s="29">
        <f t="shared" si="0"/>
        <v>10</v>
      </c>
      <c r="L11" s="29">
        <f t="shared" si="0"/>
        <v>10</v>
      </c>
      <c r="M11" s="29">
        <f t="shared" si="0"/>
        <v>10</v>
      </c>
      <c r="N11" s="29">
        <f t="shared" si="0"/>
        <v>40</v>
      </c>
      <c r="O11" s="30">
        <f t="shared" si="0"/>
        <v>10</v>
      </c>
      <c r="P11" s="19">
        <f>SUM(P10)</f>
        <v>10</v>
      </c>
      <c r="Q11" s="19">
        <f>SUM(Q10)</f>
        <v>10</v>
      </c>
      <c r="R11" s="19">
        <f>Q11*100/O11</f>
        <v>100</v>
      </c>
      <c r="S11" s="19">
        <f>SUM(S10)</f>
        <v>20</v>
      </c>
      <c r="T11" s="183"/>
      <c r="U11" s="193">
        <f>SUM(U10:U10)</f>
        <v>10</v>
      </c>
      <c r="V11" s="32"/>
      <c r="W11" s="32"/>
      <c r="X11" s="32"/>
      <c r="Y11" s="182"/>
      <c r="Z11" s="193">
        <f>SUM(Z10:Z10)</f>
        <v>10</v>
      </c>
      <c r="AA11" s="19"/>
      <c r="AB11" s="19"/>
      <c r="AC11" s="246"/>
      <c r="AD11" s="182"/>
      <c r="AE11" s="193">
        <f>SUM(AE10:AE10)</f>
        <v>2</v>
      </c>
      <c r="AF11" s="19"/>
      <c r="AG11" s="19"/>
      <c r="AH11" s="246"/>
      <c r="AI11" s="138"/>
      <c r="AJ11" s="689">
        <f>SUM(AJ10:AJ10)</f>
        <v>2</v>
      </c>
      <c r="AK11" s="690"/>
      <c r="AL11" s="424">
        <f>SUM(AL10:AL10)</f>
        <v>0</v>
      </c>
      <c r="AT11" s="63"/>
      <c r="AU11" s="63"/>
      <c r="AV11" s="63"/>
      <c r="AW11" s="63"/>
      <c r="BB11" s="59">
        <f>SUM(AW11:AY11)</f>
        <v>0</v>
      </c>
      <c r="BC11" s="143"/>
    </row>
    <row r="12" spans="1:55" s="59" customFormat="1" ht="24.75" customHeight="1" thickBot="1">
      <c r="A12" s="137"/>
      <c r="B12" s="137"/>
      <c r="C12" s="137"/>
      <c r="D12" s="62"/>
      <c r="E12" s="101"/>
      <c r="F12" s="103"/>
      <c r="G12" s="103"/>
      <c r="H12" s="103"/>
      <c r="T12" s="718"/>
      <c r="U12" s="718"/>
      <c r="V12" s="249"/>
      <c r="W12" s="248"/>
      <c r="X12" s="184"/>
      <c r="AA12" s="92"/>
      <c r="AB12" s="184"/>
      <c r="AC12" s="184"/>
      <c r="AD12" s="184"/>
      <c r="AE12" s="184"/>
      <c r="AF12" s="184"/>
      <c r="AG12" s="184"/>
      <c r="AH12" s="184"/>
      <c r="AL12" s="259"/>
      <c r="AT12" s="63"/>
      <c r="AU12" s="63"/>
      <c r="AV12" s="63"/>
      <c r="AW12" s="63"/>
    </row>
    <row r="13" spans="1:55" s="59" customFormat="1" ht="21" customHeight="1" thickTop="1">
      <c r="A13" s="137"/>
      <c r="B13" s="137"/>
      <c r="C13" s="137"/>
      <c r="D13" s="468" t="s">
        <v>206</v>
      </c>
      <c r="E13" s="101"/>
      <c r="F13" s="103"/>
      <c r="G13" s="103"/>
      <c r="H13" s="103"/>
      <c r="V13" s="185"/>
      <c r="W13" s="184"/>
      <c r="X13" s="184"/>
      <c r="AA13" s="184"/>
      <c r="AB13" s="184"/>
      <c r="AC13" s="190"/>
      <c r="AD13" s="190"/>
      <c r="AE13" s="190"/>
      <c r="AF13" s="190"/>
      <c r="AG13" s="190"/>
      <c r="AH13" s="190"/>
      <c r="AT13" s="63"/>
      <c r="AU13" s="63"/>
      <c r="AV13" s="63"/>
      <c r="AW13" s="63"/>
      <c r="BB13" s="59">
        <f>SUM(AW13:AY13)</f>
        <v>0</v>
      </c>
    </row>
    <row r="14" spans="1:55" s="59" customFormat="1" ht="21" customHeight="1">
      <c r="A14" s="244"/>
      <c r="B14" s="137"/>
      <c r="C14" s="137"/>
      <c r="D14" s="62"/>
      <c r="E14" s="101"/>
      <c r="F14" s="103"/>
      <c r="G14" s="103"/>
      <c r="H14" s="103"/>
      <c r="V14" s="185"/>
      <c r="W14" s="184"/>
      <c r="X14" s="184"/>
      <c r="AA14" s="184"/>
      <c r="AB14" s="184"/>
      <c r="AC14" s="190"/>
      <c r="AD14" s="190"/>
      <c r="AE14" s="190"/>
      <c r="AF14" s="190"/>
      <c r="AG14" s="190"/>
      <c r="AH14" s="190"/>
      <c r="AT14" s="63"/>
      <c r="AU14" s="63"/>
      <c r="AV14" s="63"/>
      <c r="AW14" s="63"/>
    </row>
    <row r="15" spans="1:55" s="59" customFormat="1" ht="21" customHeight="1">
      <c r="A15" s="244"/>
      <c r="B15" s="137"/>
      <c r="C15" s="137"/>
      <c r="D15" s="62"/>
      <c r="E15" s="101"/>
      <c r="F15" s="103"/>
      <c r="G15" s="103"/>
      <c r="H15" s="103"/>
      <c r="V15" s="185"/>
      <c r="W15" s="184"/>
      <c r="X15" s="184"/>
      <c r="AA15" s="184"/>
      <c r="AB15" s="184"/>
      <c r="AC15" s="190"/>
      <c r="AD15" s="190"/>
      <c r="AE15" s="190"/>
      <c r="AF15" s="190"/>
      <c r="AG15" s="190"/>
      <c r="AH15" s="190"/>
      <c r="AT15" s="63"/>
      <c r="AU15" s="63"/>
      <c r="AV15" s="63"/>
      <c r="AW15" s="63"/>
    </row>
    <row r="16" spans="1:55" s="59" customFormat="1" ht="21" customHeight="1" thickBot="1">
      <c r="A16" s="137"/>
      <c r="B16" s="137"/>
      <c r="C16" s="137"/>
      <c r="D16" s="62"/>
      <c r="E16" s="101"/>
      <c r="F16" s="103"/>
      <c r="G16" s="103"/>
      <c r="H16" s="103"/>
      <c r="V16" s="184"/>
      <c r="W16" s="184"/>
      <c r="X16" s="184"/>
      <c r="AA16" s="184"/>
      <c r="AB16" s="184"/>
      <c r="AC16" s="191"/>
      <c r="AD16" s="191"/>
      <c r="AE16" s="191"/>
      <c r="AF16" s="191"/>
      <c r="AG16" s="191"/>
      <c r="AH16" s="191"/>
      <c r="AT16" s="63"/>
      <c r="AU16" s="63"/>
      <c r="AV16" s="63"/>
      <c r="AW16" s="63"/>
      <c r="BB16" s="59">
        <f t="shared" ref="BB16:BC17" si="1">SUM(AW16:AY16)</f>
        <v>0</v>
      </c>
      <c r="BC16" s="143"/>
    </row>
    <row r="17" spans="1:56" ht="18" customHeight="1">
      <c r="A17" s="58"/>
      <c r="B17" s="377" t="s">
        <v>45</v>
      </c>
      <c r="C17" s="378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50"/>
      <c r="U17" s="50"/>
      <c r="V17" s="428"/>
      <c r="W17" s="429"/>
      <c r="AI17" s="136"/>
      <c r="AN17" s="59"/>
      <c r="AU17" s="142"/>
      <c r="BC17" s="181">
        <f t="shared" si="1"/>
        <v>0</v>
      </c>
      <c r="BD17" s="143"/>
    </row>
    <row r="18" spans="1:56" ht="18" customHeight="1">
      <c r="B18" s="420" t="s">
        <v>14</v>
      </c>
      <c r="C18" s="285" t="s">
        <v>193</v>
      </c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52"/>
      <c r="U18" s="52"/>
      <c r="V18" s="186"/>
      <c r="W18" s="430"/>
    </row>
    <row r="19" spans="1:56" ht="18" customHeight="1">
      <c r="B19" s="214"/>
      <c r="C19" s="419" t="s">
        <v>194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52"/>
      <c r="U19" s="52"/>
      <c r="V19" s="186"/>
      <c r="W19" s="430"/>
    </row>
    <row r="20" spans="1:56" ht="18" customHeight="1">
      <c r="B20" s="214"/>
      <c r="C20" s="285" t="s">
        <v>47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52"/>
      <c r="U20" s="52"/>
      <c r="V20" s="186"/>
      <c r="W20" s="430"/>
    </row>
    <row r="21" spans="1:56" ht="18" customHeight="1">
      <c r="B21" s="332"/>
      <c r="C21" s="285" t="s">
        <v>48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52"/>
      <c r="U21" s="52"/>
      <c r="V21" s="186"/>
      <c r="W21" s="430"/>
    </row>
    <row r="22" spans="1:56" ht="18" customHeight="1">
      <c r="B22" s="332"/>
      <c r="C22" s="285" t="s">
        <v>195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52"/>
      <c r="U22" s="52"/>
      <c r="V22" s="186"/>
      <c r="W22" s="430"/>
    </row>
    <row r="23" spans="1:56" ht="18" customHeight="1">
      <c r="B23" s="332"/>
      <c r="C23" s="285" t="s">
        <v>49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52"/>
      <c r="U23" s="52"/>
      <c r="V23" s="186"/>
      <c r="W23" s="430"/>
    </row>
    <row r="24" spans="1:56" ht="18" customHeight="1">
      <c r="B24" s="332"/>
      <c r="C24" s="419" t="s">
        <v>196</v>
      </c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52"/>
      <c r="U24" s="52"/>
      <c r="V24" s="186"/>
      <c r="W24" s="430"/>
    </row>
    <row r="25" spans="1:56" ht="18" customHeight="1">
      <c r="B25" s="332"/>
      <c r="C25" s="285" t="s">
        <v>197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52"/>
      <c r="U25" s="52"/>
      <c r="V25" s="186"/>
      <c r="W25" s="430"/>
    </row>
    <row r="26" spans="1:56" ht="18" customHeight="1">
      <c r="B26" s="332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52"/>
      <c r="U26" s="52"/>
      <c r="V26" s="186"/>
      <c r="W26" s="430"/>
    </row>
    <row r="27" spans="1:56" ht="18" customHeight="1">
      <c r="B27" s="420" t="s">
        <v>30</v>
      </c>
      <c r="C27" s="285" t="s">
        <v>198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285"/>
      <c r="S27" s="285"/>
      <c r="T27" s="52"/>
      <c r="U27" s="52"/>
      <c r="V27" s="186"/>
      <c r="W27" s="430"/>
    </row>
    <row r="28" spans="1:56" ht="18" customHeight="1" thickBot="1">
      <c r="B28" s="56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  <c r="P28" s="328"/>
      <c r="Q28" s="328"/>
      <c r="R28" s="328"/>
      <c r="S28" s="328"/>
      <c r="T28" s="57"/>
      <c r="U28" s="57"/>
      <c r="V28" s="431"/>
      <c r="W28" s="432"/>
    </row>
    <row r="29" spans="1:56" s="59" customFormat="1" ht="21" customHeight="1">
      <c r="D29" s="107"/>
      <c r="E29" s="102"/>
      <c r="F29" s="105"/>
      <c r="G29" s="106"/>
      <c r="V29" s="184"/>
      <c r="W29" s="184"/>
      <c r="X29" s="184"/>
      <c r="AA29" s="184"/>
      <c r="AB29" s="184"/>
      <c r="AC29" s="184"/>
      <c r="AD29" s="184"/>
      <c r="AE29" s="184"/>
      <c r="AF29" s="184"/>
      <c r="AG29" s="184"/>
      <c r="AH29" s="184"/>
      <c r="AT29" s="63"/>
      <c r="AU29" s="63"/>
      <c r="AV29" s="63"/>
      <c r="AW29" s="63"/>
    </row>
    <row r="30" spans="1:56" s="59" customFormat="1" ht="21" customHeight="1">
      <c r="D30" s="107"/>
      <c r="E30" s="102"/>
      <c r="F30" s="105"/>
      <c r="G30" s="106"/>
      <c r="V30" s="184"/>
      <c r="W30" s="184"/>
      <c r="X30" s="184"/>
      <c r="AA30" s="184"/>
      <c r="AB30" s="184"/>
      <c r="AC30" s="184"/>
      <c r="AD30" s="184"/>
      <c r="AE30" s="184"/>
      <c r="AF30" s="184"/>
      <c r="AG30" s="184"/>
      <c r="AH30" s="184"/>
      <c r="AT30" s="63"/>
      <c r="AU30" s="63"/>
      <c r="AV30" s="63"/>
      <c r="AW30" s="63"/>
    </row>
    <row r="31" spans="1:56" s="59" customFormat="1" ht="21" customHeight="1">
      <c r="A31" s="63"/>
      <c r="B31" s="63"/>
      <c r="C31" s="63"/>
      <c r="D31" s="108"/>
      <c r="E31" s="109"/>
      <c r="F31" s="110"/>
      <c r="G31" s="111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188"/>
      <c r="W31" s="188"/>
      <c r="X31" s="188"/>
      <c r="Y31" s="63"/>
      <c r="Z31" s="63"/>
      <c r="AA31" s="188"/>
      <c r="AB31" s="188"/>
      <c r="AC31" s="188"/>
      <c r="AD31" s="188"/>
      <c r="AE31" s="188"/>
      <c r="AF31" s="188"/>
      <c r="AG31" s="188"/>
      <c r="AH31" s="188"/>
      <c r="AT31" s="63"/>
      <c r="AU31" s="63"/>
      <c r="AV31" s="63"/>
      <c r="AW31" s="63"/>
    </row>
    <row r="32" spans="1:56" s="59" customFormat="1" ht="21" customHeight="1">
      <c r="A32" s="61"/>
      <c r="B32" s="61"/>
      <c r="C32" s="61"/>
      <c r="D32" s="62"/>
      <c r="E32" s="63"/>
      <c r="F32" s="63"/>
      <c r="G32" s="64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188"/>
      <c r="W32" s="188"/>
      <c r="X32" s="188"/>
      <c r="Y32" s="63"/>
      <c r="Z32" s="63"/>
      <c r="AA32" s="188"/>
      <c r="AB32" s="188"/>
      <c r="AC32" s="188"/>
      <c r="AD32" s="188"/>
      <c r="AE32" s="188"/>
      <c r="AF32" s="188"/>
      <c r="AG32" s="188"/>
      <c r="AH32" s="188"/>
      <c r="AT32" s="63"/>
      <c r="AU32" s="63"/>
      <c r="AV32" s="63"/>
      <c r="AW32" s="63"/>
    </row>
    <row r="33" spans="1:49" s="59" customFormat="1" ht="20.100000000000001" customHeight="1">
      <c r="A33" s="63"/>
      <c r="B33" s="63"/>
      <c r="C33" s="63"/>
      <c r="D33" s="63"/>
      <c r="E33" s="109"/>
      <c r="F33" s="63"/>
      <c r="G33" s="64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188"/>
      <c r="W33" s="188"/>
      <c r="X33" s="188"/>
      <c r="Y33" s="63"/>
      <c r="Z33" s="63"/>
      <c r="AA33" s="188"/>
      <c r="AB33" s="188"/>
      <c r="AC33" s="188"/>
      <c r="AD33" s="188"/>
      <c r="AE33" s="188"/>
      <c r="AF33" s="188"/>
      <c r="AG33" s="188"/>
      <c r="AH33" s="188"/>
      <c r="AT33" s="63"/>
      <c r="AU33" s="63"/>
      <c r="AV33" s="63"/>
      <c r="AW33" s="63"/>
    </row>
    <row r="34" spans="1:49" s="59" customFormat="1" ht="20.100000000000001" customHeight="1">
      <c r="A34" s="112"/>
      <c r="B34" s="112"/>
      <c r="C34" s="112"/>
      <c r="D34" s="63"/>
      <c r="E34" s="113"/>
      <c r="F34" s="81"/>
      <c r="G34" s="63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189"/>
      <c r="W34" s="189"/>
      <c r="X34" s="189"/>
      <c r="Y34" s="81"/>
      <c r="Z34" s="81"/>
      <c r="AA34" s="189"/>
      <c r="AB34" s="189"/>
      <c r="AC34" s="189"/>
      <c r="AD34" s="189"/>
      <c r="AE34" s="189"/>
      <c r="AF34" s="189"/>
      <c r="AG34" s="189"/>
      <c r="AH34" s="189"/>
      <c r="AT34" s="63"/>
      <c r="AU34" s="63"/>
      <c r="AV34" s="63"/>
      <c r="AW34" s="63"/>
    </row>
    <row r="35" spans="1:49" s="59" customFormat="1" ht="20.100000000000001" customHeight="1">
      <c r="A35" s="81"/>
      <c r="B35" s="81"/>
      <c r="C35" s="81"/>
      <c r="D35" s="63"/>
      <c r="E35" s="81"/>
      <c r="F35" s="81" t="s">
        <v>26</v>
      </c>
      <c r="G35" s="64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189"/>
      <c r="W35" s="189"/>
      <c r="X35" s="189"/>
      <c r="Y35" s="81"/>
      <c r="Z35" s="81"/>
      <c r="AA35" s="189"/>
      <c r="AB35" s="189"/>
      <c r="AC35" s="189"/>
      <c r="AD35" s="189"/>
      <c r="AE35" s="189"/>
      <c r="AF35" s="189"/>
      <c r="AG35" s="189"/>
      <c r="AH35" s="189"/>
      <c r="AT35" s="63"/>
      <c r="AU35" s="63"/>
      <c r="AV35" s="63"/>
      <c r="AW35" s="63"/>
    </row>
    <row r="36" spans="1:49" s="59" customFormat="1" ht="20.100000000000001" customHeight="1">
      <c r="A36" s="81"/>
      <c r="B36" s="81"/>
      <c r="C36" s="81"/>
      <c r="D36" s="63"/>
      <c r="E36" s="81"/>
      <c r="F36" s="81"/>
      <c r="G36" s="64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189"/>
      <c r="W36" s="189"/>
      <c r="X36" s="189"/>
      <c r="Y36" s="81"/>
      <c r="Z36" s="81"/>
      <c r="AA36" s="189"/>
      <c r="AB36" s="189"/>
      <c r="AC36" s="189"/>
      <c r="AD36" s="189"/>
      <c r="AE36" s="189"/>
      <c r="AF36" s="189"/>
      <c r="AG36" s="189"/>
      <c r="AH36" s="189"/>
      <c r="AT36" s="63"/>
      <c r="AU36" s="63"/>
      <c r="AV36" s="63"/>
      <c r="AW36" s="63"/>
    </row>
    <row r="37" spans="1:49" s="59" customFormat="1" ht="20.100000000000001" customHeight="1">
      <c r="A37" s="112"/>
      <c r="B37" s="112"/>
      <c r="C37" s="112"/>
      <c r="D37" s="63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189"/>
      <c r="W37" s="189"/>
      <c r="X37" s="189"/>
      <c r="Y37" s="81"/>
      <c r="Z37" s="81"/>
      <c r="AA37" s="189"/>
      <c r="AB37" s="189"/>
      <c r="AC37" s="189"/>
      <c r="AD37" s="189"/>
      <c r="AE37" s="189"/>
      <c r="AF37" s="189"/>
      <c r="AG37" s="189"/>
      <c r="AH37" s="189"/>
      <c r="AT37" s="63"/>
      <c r="AU37" s="63"/>
      <c r="AV37" s="63"/>
      <c r="AW37" s="63"/>
    </row>
    <row r="38" spans="1:49" s="59" customFormat="1" ht="20.100000000000001" customHeight="1">
      <c r="A38" s="81"/>
      <c r="B38" s="81"/>
      <c r="C38" s="81"/>
      <c r="D38" s="11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189"/>
      <c r="W38" s="189"/>
      <c r="X38" s="189"/>
      <c r="Y38" s="81"/>
      <c r="Z38" s="81"/>
      <c r="AA38" s="189"/>
      <c r="AB38" s="189"/>
      <c r="AC38" s="189"/>
      <c r="AD38" s="189"/>
      <c r="AE38" s="189"/>
      <c r="AF38" s="189"/>
      <c r="AG38" s="189"/>
      <c r="AH38" s="189"/>
      <c r="AT38" s="63"/>
      <c r="AU38" s="63"/>
      <c r="AV38" s="63"/>
      <c r="AW38" s="63"/>
    </row>
    <row r="39" spans="1:49" ht="20.100000000000001" customHeight="1">
      <c r="A39" s="81"/>
      <c r="B39" s="81"/>
      <c r="C39" s="81"/>
      <c r="D39" s="63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189"/>
      <c r="W39" s="189"/>
      <c r="X39" s="189"/>
      <c r="Y39" s="81"/>
      <c r="Z39" s="81"/>
      <c r="AA39" s="189"/>
      <c r="AB39" s="189"/>
      <c r="AC39" s="189"/>
      <c r="AD39" s="189"/>
      <c r="AE39" s="189"/>
      <c r="AF39" s="189"/>
      <c r="AG39" s="189"/>
      <c r="AH39" s="189"/>
    </row>
    <row r="40" spans="1:49" ht="20.100000000000001" customHeight="1">
      <c r="A40" s="81"/>
      <c r="B40" s="81"/>
      <c r="C40" s="81"/>
      <c r="D40" s="63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189"/>
      <c r="W40" s="189"/>
      <c r="X40" s="189"/>
      <c r="Y40" s="81"/>
      <c r="Z40" s="81"/>
      <c r="AA40" s="189"/>
      <c r="AB40" s="189"/>
      <c r="AC40" s="189"/>
      <c r="AD40" s="189"/>
      <c r="AE40" s="189"/>
      <c r="AF40" s="189"/>
      <c r="AG40" s="189"/>
      <c r="AH40" s="189"/>
    </row>
    <row r="41" spans="1:49" ht="20.100000000000001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189"/>
      <c r="W41" s="189"/>
      <c r="X41" s="189"/>
      <c r="Y41" s="81"/>
      <c r="Z41" s="81"/>
      <c r="AA41" s="189"/>
      <c r="AB41" s="189"/>
      <c r="AC41" s="189"/>
      <c r="AD41" s="189"/>
      <c r="AE41" s="189"/>
      <c r="AF41" s="189"/>
      <c r="AG41" s="189"/>
      <c r="AH41" s="189"/>
    </row>
    <row r="42" spans="1:49" ht="20.100000000000001" customHeight="1"/>
    <row r="43" spans="1:49" ht="20.100000000000001" customHeight="1"/>
    <row r="44" spans="1:49" ht="20.100000000000001" customHeight="1"/>
    <row r="45" spans="1:49" ht="20.100000000000001" customHeight="1"/>
    <row r="46" spans="1:49" ht="25.5" customHeight="1"/>
    <row r="47" spans="1:49" ht="25.5" customHeight="1"/>
    <row r="48" spans="1:49" ht="25.5" customHeight="1"/>
    <row r="49" ht="25.5" customHeight="1"/>
    <row r="50" ht="18" customHeight="1"/>
    <row r="51" ht="18" customHeight="1"/>
  </sheetData>
  <mergeCells count="53">
    <mergeCell ref="T12:U12"/>
    <mergeCell ref="J5:S6"/>
    <mergeCell ref="AI7:AK7"/>
    <mergeCell ref="A4:A9"/>
    <mergeCell ref="B4:C6"/>
    <mergeCell ref="AD5:AH5"/>
    <mergeCell ref="AD4:AH4"/>
    <mergeCell ref="AD7:AE7"/>
    <mergeCell ref="AD8:AD9"/>
    <mergeCell ref="AE8:AE9"/>
    <mergeCell ref="C7:C9"/>
    <mergeCell ref="D4:AC4"/>
    <mergeCell ref="AD6:AH6"/>
    <mergeCell ref="AF7:AH7"/>
    <mergeCell ref="AF8:AF9"/>
    <mergeCell ref="Y6:AC6"/>
    <mergeCell ref="AL7:AL9"/>
    <mergeCell ref="X8:X9"/>
    <mergeCell ref="T8:T9"/>
    <mergeCell ref="U8:U9"/>
    <mergeCell ref="Y7:Z7"/>
    <mergeCell ref="Y8:Y9"/>
    <mergeCell ref="Z8:Z9"/>
    <mergeCell ref="AI8:AI9"/>
    <mergeCell ref="AA7:AC7"/>
    <mergeCell ref="AA8:AA9"/>
    <mergeCell ref="AC8:AC9"/>
    <mergeCell ref="AB8:AB9"/>
    <mergeCell ref="V7:X7"/>
    <mergeCell ref="AJ8:AK9"/>
    <mergeCell ref="W8:W9"/>
    <mergeCell ref="D8:F8"/>
    <mergeCell ref="O8:O9"/>
    <mergeCell ref="J7:O7"/>
    <mergeCell ref="P7:S8"/>
    <mergeCell ref="T7:U7"/>
    <mergeCell ref="J8:N8"/>
    <mergeCell ref="AJ10:AK10"/>
    <mergeCell ref="AJ11:AK11"/>
    <mergeCell ref="A1:AL1"/>
    <mergeCell ref="A2:AL2"/>
    <mergeCell ref="AI4:AL5"/>
    <mergeCell ref="G8:G9"/>
    <mergeCell ref="AG8:AG9"/>
    <mergeCell ref="AH8:AH9"/>
    <mergeCell ref="D7:G7"/>
    <mergeCell ref="H7:I8"/>
    <mergeCell ref="AI6:AL6"/>
    <mergeCell ref="B7:B9"/>
    <mergeCell ref="T5:AC5"/>
    <mergeCell ref="T6:X6"/>
    <mergeCell ref="D5:I6"/>
    <mergeCell ref="V8:V9"/>
  </mergeCells>
  <printOptions horizontalCentered="1"/>
  <pageMargins left="0" right="0" top="0.39370078740157483" bottom="0" header="0.31496062992125984" footer="0.19685039370078741"/>
  <pageSetup paperSize="9" scale="60" orientation="landscape" r:id="rId1"/>
  <headerFooter alignWithMargins="0">
    <oddFooter>&amp;C&amp;8&amp;Z&amp;F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Z26"/>
  <sheetViews>
    <sheetView tabSelected="1" zoomScale="90" zoomScaleNormal="90" workbookViewId="0">
      <selection activeCell="N11" sqref="N11"/>
    </sheetView>
  </sheetViews>
  <sheetFormatPr defaultRowHeight="27.75" customHeight="1"/>
  <cols>
    <col min="1" max="1" width="8.7109375" style="54" customWidth="1"/>
    <col min="2" max="2" width="7.28515625" style="54" customWidth="1"/>
    <col min="3" max="3" width="6.5703125" style="54" customWidth="1"/>
    <col min="4" max="4" width="8.140625" style="54" customWidth="1"/>
    <col min="5" max="5" width="7.28515625" style="54" customWidth="1"/>
    <col min="6" max="6" width="7.5703125" style="54" customWidth="1"/>
    <col min="7" max="7" width="6.85546875" style="54" customWidth="1"/>
    <col min="8" max="9" width="6.42578125" style="54" customWidth="1"/>
    <col min="10" max="11" width="7.140625" style="54" customWidth="1"/>
    <col min="12" max="12" width="7.85546875" style="54" customWidth="1"/>
    <col min="13" max="13" width="6.85546875" style="54" customWidth="1"/>
    <col min="14" max="14" width="5.42578125" style="54" customWidth="1"/>
    <col min="15" max="15" width="8.28515625" style="54" customWidth="1"/>
    <col min="16" max="16" width="8.140625" style="54" customWidth="1"/>
    <col min="17" max="17" width="7.28515625" style="54" customWidth="1"/>
    <col min="18" max="18" width="8.140625" style="54" customWidth="1"/>
    <col min="19" max="19" width="9.7109375" style="54" customWidth="1"/>
    <col min="20" max="20" width="11.7109375" style="54" customWidth="1"/>
    <col min="21" max="21" width="6.85546875" style="54" customWidth="1"/>
    <col min="22" max="22" width="7.140625" style="54" hidden="1" customWidth="1"/>
    <col min="23" max="23" width="6.140625" style="54" hidden="1" customWidth="1"/>
    <col min="24" max="24" width="8.42578125" style="54" hidden="1" customWidth="1"/>
    <col min="25" max="25" width="7.28515625" style="54" hidden="1" customWidth="1"/>
    <col min="26" max="26" width="8.28515625" style="54" hidden="1" customWidth="1"/>
    <col min="27" max="16384" width="9.140625" style="54"/>
  </cols>
  <sheetData>
    <row r="1" spans="1:26" ht="22.5" customHeight="1">
      <c r="A1" s="551" t="str">
        <f>'(PD-RD1)_พัฒนาภูมิปัญญาฯ'!A1:Z1</f>
        <v>รายละเอียดแผนการปฏิบัติงานและความก้าวหน้าผลการปฏิบัติงาน ณ วันที่  31  มกราคม 2559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96"/>
      <c r="W1" s="96"/>
      <c r="X1" s="96"/>
      <c r="Y1" s="96"/>
      <c r="Z1" s="96"/>
    </row>
    <row r="2" spans="1:26" ht="22.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96"/>
      <c r="W2" s="96"/>
      <c r="X2" s="96"/>
      <c r="Y2" s="96"/>
      <c r="Z2" s="96"/>
    </row>
    <row r="3" spans="1:26" s="59" customFormat="1" ht="22.5" customHeight="1">
      <c r="A3" s="80" t="s">
        <v>109</v>
      </c>
      <c r="Z3" s="78"/>
    </row>
    <row r="4" spans="1:26" s="59" customFormat="1" ht="40.5" customHeight="1">
      <c r="A4" s="583" t="s">
        <v>14</v>
      </c>
      <c r="B4" s="586" t="s">
        <v>110</v>
      </c>
      <c r="C4" s="587"/>
      <c r="D4" s="587"/>
      <c r="E4" s="587"/>
      <c r="F4" s="587"/>
      <c r="G4" s="588"/>
      <c r="H4" s="589" t="s">
        <v>34</v>
      </c>
      <c r="I4" s="590"/>
      <c r="J4" s="590"/>
      <c r="K4" s="590"/>
      <c r="L4" s="590"/>
      <c r="M4" s="591"/>
      <c r="N4" s="589" t="s">
        <v>111</v>
      </c>
      <c r="O4" s="590"/>
      <c r="P4" s="590"/>
      <c r="Q4" s="590"/>
      <c r="R4" s="590"/>
      <c r="S4" s="590"/>
      <c r="T4" s="590"/>
      <c r="U4" s="591"/>
      <c r="V4" s="600" t="s">
        <v>106</v>
      </c>
      <c r="W4" s="601"/>
      <c r="X4" s="604" t="s">
        <v>107</v>
      </c>
      <c r="Y4" s="605"/>
      <c r="Z4" s="606"/>
    </row>
    <row r="5" spans="1:26" s="59" customFormat="1" ht="21" customHeight="1">
      <c r="A5" s="584"/>
      <c r="B5" s="582" t="s">
        <v>5</v>
      </c>
      <c r="C5" s="582"/>
      <c r="D5" s="582"/>
      <c r="E5" s="582"/>
      <c r="F5" s="592" t="s">
        <v>19</v>
      </c>
      <c r="G5" s="593"/>
      <c r="H5" s="582" t="s">
        <v>5</v>
      </c>
      <c r="I5" s="582"/>
      <c r="J5" s="582"/>
      <c r="K5" s="582"/>
      <c r="L5" s="592" t="s">
        <v>19</v>
      </c>
      <c r="M5" s="593"/>
      <c r="N5" s="582" t="s">
        <v>5</v>
      </c>
      <c r="O5" s="582"/>
      <c r="P5" s="582"/>
      <c r="Q5" s="582"/>
      <c r="R5" s="596" t="s">
        <v>19</v>
      </c>
      <c r="S5" s="597"/>
      <c r="T5" s="597"/>
      <c r="U5" s="598"/>
      <c r="V5" s="602"/>
      <c r="W5" s="603"/>
      <c r="X5" s="604"/>
      <c r="Y5" s="605"/>
      <c r="Z5" s="606"/>
    </row>
    <row r="6" spans="1:26" s="59" customFormat="1" ht="34.5" customHeight="1">
      <c r="A6" s="584"/>
      <c r="B6" s="582" t="s">
        <v>1</v>
      </c>
      <c r="C6" s="582"/>
      <c r="D6" s="582"/>
      <c r="E6" s="599" t="s">
        <v>24</v>
      </c>
      <c r="F6" s="594"/>
      <c r="G6" s="595"/>
      <c r="H6" s="582" t="s">
        <v>1</v>
      </c>
      <c r="I6" s="582"/>
      <c r="J6" s="582"/>
      <c r="K6" s="599" t="s">
        <v>24</v>
      </c>
      <c r="L6" s="594"/>
      <c r="M6" s="595"/>
      <c r="N6" s="582" t="s">
        <v>1</v>
      </c>
      <c r="O6" s="582"/>
      <c r="P6" s="582"/>
      <c r="Q6" s="599" t="s">
        <v>24</v>
      </c>
      <c r="R6" s="557" t="s">
        <v>63</v>
      </c>
      <c r="S6" s="557" t="s">
        <v>27</v>
      </c>
      <c r="T6" s="578" t="s">
        <v>108</v>
      </c>
      <c r="U6" s="580" t="s">
        <v>22</v>
      </c>
      <c r="V6" s="607" t="s">
        <v>31</v>
      </c>
      <c r="W6" s="607" t="s">
        <v>4</v>
      </c>
      <c r="X6" s="609" t="s">
        <v>31</v>
      </c>
      <c r="Y6" s="610"/>
      <c r="Z6" s="610" t="s">
        <v>4</v>
      </c>
    </row>
    <row r="7" spans="1:26" s="59" customFormat="1" ht="40.5" customHeight="1">
      <c r="A7" s="585"/>
      <c r="B7" s="456">
        <v>1</v>
      </c>
      <c r="C7" s="456">
        <v>2</v>
      </c>
      <c r="D7" s="271" t="s">
        <v>3</v>
      </c>
      <c r="E7" s="553"/>
      <c r="F7" s="272" t="s">
        <v>20</v>
      </c>
      <c r="G7" s="272" t="s">
        <v>22</v>
      </c>
      <c r="H7" s="456">
        <v>2</v>
      </c>
      <c r="I7" s="456">
        <v>3</v>
      </c>
      <c r="J7" s="271" t="s">
        <v>3</v>
      </c>
      <c r="K7" s="553"/>
      <c r="L7" s="272" t="s">
        <v>20</v>
      </c>
      <c r="M7" s="272" t="s">
        <v>22</v>
      </c>
      <c r="N7" s="456">
        <v>2</v>
      </c>
      <c r="O7" s="456">
        <v>3</v>
      </c>
      <c r="P7" s="271" t="s">
        <v>3</v>
      </c>
      <c r="Q7" s="553"/>
      <c r="R7" s="558"/>
      <c r="S7" s="558"/>
      <c r="T7" s="579"/>
      <c r="U7" s="581"/>
      <c r="V7" s="608"/>
      <c r="W7" s="608"/>
      <c r="X7" s="305" t="s">
        <v>32</v>
      </c>
      <c r="Y7" s="306" t="s">
        <v>16</v>
      </c>
      <c r="Z7" s="610"/>
    </row>
    <row r="8" spans="1:26" s="59" customFormat="1" ht="23.25" customHeight="1">
      <c r="A8" s="194" t="s">
        <v>7</v>
      </c>
      <c r="B8" s="14">
        <f>0+0+85</f>
        <v>85</v>
      </c>
      <c r="C8" s="14"/>
      <c r="D8" s="14">
        <f t="shared" ref="D8:D14" si="0">SUM(B8:C8)</f>
        <v>85</v>
      </c>
      <c r="E8" s="12">
        <f>B8</f>
        <v>85</v>
      </c>
      <c r="F8" s="542">
        <v>88</v>
      </c>
      <c r="G8" s="21">
        <f>F8*100/E8</f>
        <v>103.52941176470588</v>
      </c>
      <c r="H8" s="141">
        <f>0+0+85</f>
        <v>85</v>
      </c>
      <c r="I8" s="141"/>
      <c r="J8" s="39">
        <f t="shared" ref="J8:J14" si="1">SUM(H8:I8)</f>
        <v>85</v>
      </c>
      <c r="K8" s="141"/>
      <c r="L8" s="237"/>
      <c r="M8" s="140"/>
      <c r="N8" s="9"/>
      <c r="O8" s="9">
        <f>0+0+85</f>
        <v>85</v>
      </c>
      <c r="P8" s="6">
        <f t="shared" ref="P8:P15" si="2">SUM(N8:O8)</f>
        <v>85</v>
      </c>
      <c r="Q8" s="307"/>
      <c r="R8" s="308"/>
      <c r="S8" s="140"/>
      <c r="T8" s="140"/>
      <c r="U8" s="482"/>
      <c r="V8" s="309"/>
      <c r="W8" s="309"/>
      <c r="X8" s="310"/>
      <c r="Y8" s="4"/>
      <c r="Z8" s="4"/>
    </row>
    <row r="9" spans="1:26" s="59" customFormat="1" ht="23.25" customHeight="1">
      <c r="A9" s="195" t="s">
        <v>8</v>
      </c>
      <c r="B9" s="9">
        <f>0+0+315</f>
        <v>315</v>
      </c>
      <c r="C9" s="9"/>
      <c r="D9" s="9">
        <f t="shared" si="0"/>
        <v>315</v>
      </c>
      <c r="E9" s="13">
        <f>B9</f>
        <v>315</v>
      </c>
      <c r="F9" s="538">
        <v>222</v>
      </c>
      <c r="G9" s="21">
        <f t="shared" ref="G9" si="3">F9*100/E9</f>
        <v>70.476190476190482</v>
      </c>
      <c r="H9" s="9"/>
      <c r="I9" s="9">
        <f>0+315+0</f>
        <v>315</v>
      </c>
      <c r="J9" s="7">
        <f t="shared" si="1"/>
        <v>315</v>
      </c>
      <c r="K9" s="141"/>
      <c r="L9" s="45"/>
      <c r="M9" s="140"/>
      <c r="N9" s="9"/>
      <c r="O9" s="9">
        <f>0+0+315</f>
        <v>315</v>
      </c>
      <c r="P9" s="7">
        <f t="shared" si="2"/>
        <v>315</v>
      </c>
      <c r="Q9" s="18"/>
      <c r="R9" s="308"/>
      <c r="S9" s="140"/>
      <c r="T9" s="140"/>
      <c r="U9" s="483"/>
      <c r="V9" s="312"/>
      <c r="W9" s="312"/>
      <c r="X9" s="222"/>
      <c r="Y9" s="5"/>
      <c r="Z9" s="5"/>
    </row>
    <row r="10" spans="1:26" s="59" customFormat="1" ht="23.25" customHeight="1">
      <c r="A10" s="195" t="s">
        <v>9</v>
      </c>
      <c r="B10" s="9">
        <f>0+0+145</f>
        <v>145</v>
      </c>
      <c r="C10" s="9"/>
      <c r="D10" s="9">
        <f t="shared" si="0"/>
        <v>145</v>
      </c>
      <c r="E10" s="13">
        <f t="shared" ref="E10:E14" si="4">B10</f>
        <v>145</v>
      </c>
      <c r="F10" s="27">
        <v>145</v>
      </c>
      <c r="G10" s="21">
        <f t="shared" ref="G10:G15" si="5">F10*100/E10</f>
        <v>100</v>
      </c>
      <c r="H10" s="9">
        <f>0+0+145</f>
        <v>145</v>
      </c>
      <c r="I10" s="9"/>
      <c r="J10" s="7">
        <f t="shared" si="1"/>
        <v>145</v>
      </c>
      <c r="K10" s="141"/>
      <c r="L10" s="45"/>
      <c r="M10" s="140"/>
      <c r="N10" s="9"/>
      <c r="O10" s="9">
        <f>0+0+145</f>
        <v>145</v>
      </c>
      <c r="P10" s="7">
        <f t="shared" si="2"/>
        <v>145</v>
      </c>
      <c r="Q10" s="18"/>
      <c r="R10" s="45"/>
      <c r="S10" s="21"/>
      <c r="T10" s="21"/>
      <c r="U10" s="483"/>
      <c r="V10" s="312"/>
      <c r="W10" s="312"/>
      <c r="X10" s="222"/>
      <c r="Y10" s="5"/>
      <c r="Z10" s="5"/>
    </row>
    <row r="11" spans="1:26" s="99" customFormat="1" ht="23.25" customHeight="1">
      <c r="A11" s="195" t="s">
        <v>10</v>
      </c>
      <c r="B11" s="9">
        <f>0+0+335</f>
        <v>335</v>
      </c>
      <c r="C11" s="7"/>
      <c r="D11" s="7">
        <f t="shared" si="0"/>
        <v>335</v>
      </c>
      <c r="E11" s="13">
        <f t="shared" si="4"/>
        <v>335</v>
      </c>
      <c r="F11" s="27">
        <v>335</v>
      </c>
      <c r="G11" s="21">
        <f t="shared" si="5"/>
        <v>100</v>
      </c>
      <c r="H11" s="9">
        <f>0+0+335</f>
        <v>335</v>
      </c>
      <c r="I11" s="9"/>
      <c r="J11" s="7">
        <f t="shared" si="1"/>
        <v>335</v>
      </c>
      <c r="K11" s="313"/>
      <c r="L11" s="27"/>
      <c r="M11" s="140"/>
      <c r="N11" s="9"/>
      <c r="O11" s="9">
        <f>0+0+335</f>
        <v>335</v>
      </c>
      <c r="P11" s="7">
        <f t="shared" si="2"/>
        <v>335</v>
      </c>
      <c r="Q11" s="16"/>
      <c r="R11" s="311"/>
      <c r="S11" s="21"/>
      <c r="T11" s="21"/>
      <c r="U11" s="483"/>
      <c r="V11" s="312"/>
      <c r="W11" s="312"/>
      <c r="X11" s="222"/>
      <c r="Y11" s="5"/>
      <c r="Z11" s="5"/>
    </row>
    <row r="12" spans="1:26" s="59" customFormat="1" ht="23.25" customHeight="1">
      <c r="A12" s="195" t="s">
        <v>11</v>
      </c>
      <c r="B12" s="9">
        <f>0+0+90</f>
        <v>90</v>
      </c>
      <c r="C12" s="7"/>
      <c r="D12" s="9">
        <f t="shared" si="0"/>
        <v>90</v>
      </c>
      <c r="E12" s="13">
        <f t="shared" si="4"/>
        <v>90</v>
      </c>
      <c r="F12" s="27">
        <v>90</v>
      </c>
      <c r="G12" s="21">
        <f t="shared" si="5"/>
        <v>100</v>
      </c>
      <c r="H12" s="9">
        <f>0+0+90</f>
        <v>90</v>
      </c>
      <c r="I12" s="9"/>
      <c r="J12" s="7">
        <f t="shared" si="1"/>
        <v>90</v>
      </c>
      <c r="K12" s="313"/>
      <c r="L12" s="45"/>
      <c r="M12" s="140"/>
      <c r="N12" s="9"/>
      <c r="O12" s="9">
        <f>0+90+0</f>
        <v>90</v>
      </c>
      <c r="P12" s="7">
        <f t="shared" si="2"/>
        <v>90</v>
      </c>
      <c r="Q12" s="18"/>
      <c r="R12" s="314"/>
      <c r="S12" s="21"/>
      <c r="T12" s="21"/>
      <c r="U12" s="483"/>
      <c r="V12" s="312"/>
      <c r="W12" s="312"/>
      <c r="X12" s="222"/>
      <c r="Y12" s="5"/>
      <c r="Z12" s="5"/>
    </row>
    <row r="13" spans="1:26" s="59" customFormat="1" ht="23.25" customHeight="1">
      <c r="A13" s="195" t="s">
        <v>12</v>
      </c>
      <c r="B13" s="9">
        <f>0+40+70</f>
        <v>110</v>
      </c>
      <c r="C13" s="7"/>
      <c r="D13" s="7">
        <f t="shared" si="0"/>
        <v>110</v>
      </c>
      <c r="E13" s="13">
        <f t="shared" si="4"/>
        <v>110</v>
      </c>
      <c r="F13" s="27">
        <v>110</v>
      </c>
      <c r="G13" s="21">
        <f t="shared" si="5"/>
        <v>100</v>
      </c>
      <c r="H13" s="9">
        <f>0+40+70</f>
        <v>110</v>
      </c>
      <c r="I13" s="9"/>
      <c r="J13" s="7">
        <f t="shared" si="1"/>
        <v>110</v>
      </c>
      <c r="K13" s="313"/>
      <c r="L13" s="27"/>
      <c r="M13" s="140"/>
      <c r="N13" s="9"/>
      <c r="O13" s="9">
        <f>0+40+70</f>
        <v>110</v>
      </c>
      <c r="P13" s="7">
        <f t="shared" si="2"/>
        <v>110</v>
      </c>
      <c r="Q13" s="16"/>
      <c r="R13" s="311"/>
      <c r="S13" s="140"/>
      <c r="T13" s="140"/>
      <c r="U13" s="483"/>
      <c r="V13" s="312"/>
      <c r="W13" s="312"/>
      <c r="X13" s="222"/>
      <c r="Y13" s="5"/>
      <c r="Z13" s="5"/>
    </row>
    <row r="14" spans="1:26" s="78" customFormat="1" ht="23.25" customHeight="1">
      <c r="A14" s="196" t="s">
        <v>13</v>
      </c>
      <c r="B14" s="10">
        <f>0+0+50</f>
        <v>50</v>
      </c>
      <c r="C14" s="10"/>
      <c r="D14" s="10">
        <f t="shared" si="0"/>
        <v>50</v>
      </c>
      <c r="E14" s="15">
        <f t="shared" si="4"/>
        <v>50</v>
      </c>
      <c r="F14" s="28">
        <v>50</v>
      </c>
      <c r="G14" s="17">
        <f t="shared" si="5"/>
        <v>100</v>
      </c>
      <c r="H14" s="10">
        <f>0+0+50</f>
        <v>50</v>
      </c>
      <c r="I14" s="10"/>
      <c r="J14" s="8">
        <f t="shared" si="1"/>
        <v>50</v>
      </c>
      <c r="K14" s="316"/>
      <c r="L14" s="28"/>
      <c r="M14" s="17"/>
      <c r="N14" s="315"/>
      <c r="O14" s="10">
        <f>0+0+50</f>
        <v>50</v>
      </c>
      <c r="P14" s="8">
        <f t="shared" si="2"/>
        <v>50</v>
      </c>
      <c r="Q14" s="205"/>
      <c r="R14" s="317"/>
      <c r="S14" s="17"/>
      <c r="T14" s="17"/>
      <c r="U14" s="484"/>
      <c r="V14" s="312"/>
      <c r="W14" s="318"/>
      <c r="X14" s="222"/>
      <c r="Y14" s="26"/>
      <c r="Z14" s="26"/>
    </row>
    <row r="15" spans="1:26" ht="24.95" customHeight="1">
      <c r="A15" s="74" t="s">
        <v>6</v>
      </c>
      <c r="B15" s="29">
        <f>SUM(B8:B14)</f>
        <v>1130</v>
      </c>
      <c r="C15" s="29"/>
      <c r="D15" s="29">
        <f>SUM(D8:D14)</f>
        <v>1130</v>
      </c>
      <c r="E15" s="30">
        <f>SUM(E8:E14)</f>
        <v>1130</v>
      </c>
      <c r="F15" s="319">
        <f>SUM(F8:F14)</f>
        <v>1040</v>
      </c>
      <c r="G15" s="514">
        <f t="shared" si="5"/>
        <v>92.035398230088489</v>
      </c>
      <c r="H15" s="146">
        <f>SUM(H8:H14)</f>
        <v>815</v>
      </c>
      <c r="I15" s="146"/>
      <c r="J15" s="29">
        <f>SUM(J8:J14)</f>
        <v>1130</v>
      </c>
      <c r="K15" s="29">
        <f>SUM(K8:K14)</f>
        <v>0</v>
      </c>
      <c r="L15" s="19">
        <f>SUM(L8:L14)</f>
        <v>0</v>
      </c>
      <c r="M15" s="32"/>
      <c r="N15" s="146"/>
      <c r="O15" s="146">
        <f>SUM(O8:O14)</f>
        <v>1130</v>
      </c>
      <c r="P15" s="29">
        <f t="shared" si="2"/>
        <v>1130</v>
      </c>
      <c r="Q15" s="30">
        <f>SUM(Q8:Q14)</f>
        <v>0</v>
      </c>
      <c r="R15" s="19">
        <f>SUM(R8:R14)</f>
        <v>0</v>
      </c>
      <c r="S15" s="19">
        <f t="shared" ref="S15:T15" si="6">SUM(S8:S14)</f>
        <v>0</v>
      </c>
      <c r="T15" s="19">
        <f t="shared" si="6"/>
        <v>0</v>
      </c>
      <c r="U15" s="485">
        <f>T15*100/P15</f>
        <v>0</v>
      </c>
      <c r="V15" s="320"/>
      <c r="W15" s="320"/>
      <c r="X15" s="321"/>
      <c r="Y15" s="322">
        <f>SUM(Y8:Y14)</f>
        <v>0</v>
      </c>
      <c r="Z15" s="323">
        <f>SUM(Z8:Z14)</f>
        <v>0</v>
      </c>
    </row>
    <row r="16" spans="1:26" ht="27" customHeight="1">
      <c r="A16" s="80"/>
      <c r="B16" s="80"/>
      <c r="N16" s="80"/>
      <c r="S16" s="324"/>
      <c r="T16" s="325"/>
      <c r="U16" s="326"/>
    </row>
    <row r="17" spans="1:17" ht="24.75" customHeight="1" thickBot="1">
      <c r="A17" s="327"/>
    </row>
    <row r="18" spans="1:17" ht="18.75" customHeight="1">
      <c r="A18" s="58"/>
      <c r="B18" s="329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75"/>
    </row>
    <row r="19" spans="1:17" ht="18.75" customHeight="1">
      <c r="B19" s="330" t="s">
        <v>14</v>
      </c>
      <c r="C19" s="285" t="s">
        <v>112</v>
      </c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 t="s">
        <v>104</v>
      </c>
      <c r="O19" s="285"/>
      <c r="P19" s="285"/>
      <c r="Q19" s="332"/>
    </row>
    <row r="20" spans="1:17" ht="18.75" customHeight="1">
      <c r="B20" s="331"/>
      <c r="C20" s="338" t="s">
        <v>113</v>
      </c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575" t="s">
        <v>70</v>
      </c>
      <c r="O20" s="575"/>
      <c r="P20" s="285"/>
      <c r="Q20" s="332"/>
    </row>
    <row r="21" spans="1:17" ht="18.75" customHeight="1">
      <c r="B21" s="331"/>
      <c r="C21" s="339" t="s">
        <v>114</v>
      </c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576"/>
      <c r="O21" s="576"/>
      <c r="P21" s="285"/>
      <c r="Q21" s="332"/>
    </row>
    <row r="22" spans="1:17" ht="18.75" customHeight="1">
      <c r="B22" s="75"/>
      <c r="C22" s="338" t="s">
        <v>115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575" t="s">
        <v>74</v>
      </c>
      <c r="O22" s="575"/>
      <c r="P22" s="285"/>
      <c r="Q22" s="332"/>
    </row>
    <row r="23" spans="1:17" ht="18.75" customHeight="1">
      <c r="B23" s="75"/>
      <c r="C23" s="339" t="s">
        <v>116</v>
      </c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576"/>
      <c r="O23" s="576"/>
      <c r="P23" s="285"/>
      <c r="Q23" s="332"/>
    </row>
    <row r="24" spans="1:17" ht="9" customHeight="1">
      <c r="B24" s="7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332"/>
    </row>
    <row r="25" spans="1:17" ht="18.75" customHeight="1">
      <c r="B25" s="337" t="s">
        <v>30</v>
      </c>
      <c r="C25" s="285" t="s">
        <v>117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577" t="s">
        <v>71</v>
      </c>
      <c r="O25" s="577"/>
      <c r="P25" s="285"/>
      <c r="Q25" s="332"/>
    </row>
    <row r="26" spans="1:17" ht="6.75" customHeight="1" thickBot="1">
      <c r="B26" s="333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32"/>
    </row>
  </sheetData>
  <mergeCells count="31">
    <mergeCell ref="V4:W5"/>
    <mergeCell ref="X4:Z5"/>
    <mergeCell ref="V6:V7"/>
    <mergeCell ref="W6:W7"/>
    <mergeCell ref="X6:Y6"/>
    <mergeCell ref="Z6:Z7"/>
    <mergeCell ref="N6:P6"/>
    <mergeCell ref="Q6:Q7"/>
    <mergeCell ref="R6:R7"/>
    <mergeCell ref="B6:D6"/>
    <mergeCell ref="E6:E7"/>
    <mergeCell ref="H6:J6"/>
    <mergeCell ref="K6:K7"/>
    <mergeCell ref="F5:G6"/>
    <mergeCell ref="H5:K5"/>
    <mergeCell ref="A1:U1"/>
    <mergeCell ref="A2:U2"/>
    <mergeCell ref="N20:O21"/>
    <mergeCell ref="N22:O23"/>
    <mergeCell ref="N25:O25"/>
    <mergeCell ref="T6:T7"/>
    <mergeCell ref="U6:U7"/>
    <mergeCell ref="B5:E5"/>
    <mergeCell ref="S6:S7"/>
    <mergeCell ref="A4:A7"/>
    <mergeCell ref="B4:G4"/>
    <mergeCell ref="H4:M4"/>
    <mergeCell ref="N4:U4"/>
    <mergeCell ref="L5:M6"/>
    <mergeCell ref="N5:Q5"/>
    <mergeCell ref="R5:U5"/>
  </mergeCells>
  <printOptions horizontalCentered="1"/>
  <pageMargins left="0" right="0" top="0.19685039370078741" bottom="0.19685039370078741" header="0.31496062992125984" footer="0.31496062992125984"/>
  <pageSetup paperSize="9" scale="9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29"/>
  <sheetViews>
    <sheetView zoomScale="90" zoomScaleNormal="90" workbookViewId="0">
      <pane xSplit="1" ySplit="7" topLeftCell="B14" activePane="bottomRight" state="frozen"/>
      <selection activeCell="B16" sqref="B16"/>
      <selection pane="topRight" activeCell="B16" sqref="B16"/>
      <selection pane="bottomLeft" activeCell="B16" sqref="B16"/>
      <selection pane="bottomRight" activeCell="K23" sqref="K23"/>
    </sheetView>
  </sheetViews>
  <sheetFormatPr defaultRowHeight="27.75" customHeight="1"/>
  <cols>
    <col min="1" max="1" width="12.85546875" style="81" customWidth="1"/>
    <col min="2" max="5" width="11" style="54" customWidth="1"/>
    <col min="6" max="6" width="12.140625" style="54" customWidth="1"/>
    <col min="7" max="7" width="8.85546875" style="54" customWidth="1"/>
    <col min="8" max="8" width="8.42578125" style="54" customWidth="1"/>
    <col min="9" max="9" width="9.28515625" style="54" customWidth="1"/>
    <col min="10" max="10" width="10" style="54" customWidth="1"/>
    <col min="11" max="11" width="12" style="54" customWidth="1"/>
    <col min="12" max="12" width="9.5703125" style="54" customWidth="1"/>
    <col min="13" max="13" width="9.140625" style="54" customWidth="1"/>
    <col min="14" max="14" width="13" style="54" customWidth="1"/>
    <col min="15" max="15" width="13.140625" style="83" customWidth="1"/>
    <col min="16" max="17" width="9.140625" style="81" hidden="1" customWidth="1"/>
    <col min="18" max="18" width="14.7109375" style="83" hidden="1" customWidth="1"/>
    <col min="19" max="19" width="9.140625" style="81"/>
    <col min="20" max="20" width="11.7109375" style="81" customWidth="1"/>
    <col min="21" max="16384" width="9.140625" style="81"/>
  </cols>
  <sheetData>
    <row r="1" spans="1:21" s="115" customFormat="1" ht="24" customHeight="1">
      <c r="A1" s="562" t="str">
        <f>'(PD-RD1)_พัฒนาภูมิปัญญาฯ'!A1:Z1</f>
        <v>รายละเอียดแผนการปฏิบัติงานและความก้าวหน้าผลการปฏิบัติงาน ณ วันที่  31  มกราคม 2559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Q1" s="340"/>
      <c r="R1" s="340"/>
    </row>
    <row r="2" spans="1:21" s="115" customFormat="1" ht="18.75" customHeight="1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Q2" s="340"/>
      <c r="R2" s="340"/>
    </row>
    <row r="3" spans="1:21" s="111" customFormat="1" ht="30" customHeight="1">
      <c r="A3" s="612" t="s">
        <v>226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  <c r="R3" s="267"/>
    </row>
    <row r="4" spans="1:21" s="111" customFormat="1" ht="30" customHeight="1">
      <c r="A4" s="564" t="s">
        <v>14</v>
      </c>
      <c r="B4" s="559" t="s">
        <v>55</v>
      </c>
      <c r="C4" s="560"/>
      <c r="D4" s="560"/>
      <c r="E4" s="560"/>
      <c r="F4" s="560"/>
      <c r="G4" s="561"/>
      <c r="H4" s="615" t="s">
        <v>118</v>
      </c>
      <c r="I4" s="572"/>
      <c r="J4" s="572"/>
      <c r="K4" s="572"/>
      <c r="L4" s="572"/>
      <c r="M4" s="572"/>
      <c r="N4" s="572"/>
      <c r="O4" s="573"/>
      <c r="P4" s="567" t="s">
        <v>61</v>
      </c>
      <c r="Q4" s="567"/>
      <c r="R4" s="567"/>
    </row>
    <row r="5" spans="1:21" s="111" customFormat="1" ht="30" customHeight="1">
      <c r="A5" s="565"/>
      <c r="B5" s="568" t="s">
        <v>25</v>
      </c>
      <c r="C5" s="568"/>
      <c r="D5" s="568"/>
      <c r="E5" s="552" t="s">
        <v>24</v>
      </c>
      <c r="F5" s="554" t="s">
        <v>56</v>
      </c>
      <c r="G5" s="555"/>
      <c r="H5" s="568" t="s">
        <v>25</v>
      </c>
      <c r="I5" s="568"/>
      <c r="J5" s="568"/>
      <c r="K5" s="552" t="s">
        <v>24</v>
      </c>
      <c r="L5" s="557" t="s">
        <v>59</v>
      </c>
      <c r="M5" s="574" t="s">
        <v>92</v>
      </c>
      <c r="N5" s="574"/>
      <c r="O5" s="555"/>
      <c r="P5" s="567"/>
      <c r="Q5" s="567"/>
      <c r="R5" s="567"/>
    </row>
    <row r="6" spans="1:21" s="111" customFormat="1" ht="33" customHeight="1">
      <c r="A6" s="565"/>
      <c r="B6" s="556" t="s">
        <v>1</v>
      </c>
      <c r="C6" s="556"/>
      <c r="D6" s="556"/>
      <c r="E6" s="552"/>
      <c r="F6" s="570" t="s">
        <v>58</v>
      </c>
      <c r="G6" s="570" t="s">
        <v>22</v>
      </c>
      <c r="H6" s="556" t="s">
        <v>1</v>
      </c>
      <c r="I6" s="556"/>
      <c r="J6" s="556"/>
      <c r="K6" s="552"/>
      <c r="L6" s="611"/>
      <c r="M6" s="616" t="s">
        <v>90</v>
      </c>
      <c r="N6" s="613" t="s">
        <v>91</v>
      </c>
      <c r="O6" s="613" t="s">
        <v>65</v>
      </c>
      <c r="P6" s="569" t="s">
        <v>31</v>
      </c>
      <c r="Q6" s="569"/>
      <c r="R6" s="567" t="s">
        <v>62</v>
      </c>
    </row>
    <row r="7" spans="1:21" s="111" customFormat="1" ht="48" customHeight="1">
      <c r="A7" s="566"/>
      <c r="B7" s="97">
        <v>1</v>
      </c>
      <c r="C7" s="97">
        <v>2</v>
      </c>
      <c r="D7" s="97" t="s">
        <v>3</v>
      </c>
      <c r="E7" s="553"/>
      <c r="F7" s="571"/>
      <c r="G7" s="571"/>
      <c r="H7" s="97">
        <v>2</v>
      </c>
      <c r="I7" s="97">
        <v>3</v>
      </c>
      <c r="J7" s="97" t="s">
        <v>3</v>
      </c>
      <c r="K7" s="553"/>
      <c r="L7" s="558"/>
      <c r="M7" s="617"/>
      <c r="N7" s="614"/>
      <c r="O7" s="614"/>
      <c r="P7" s="117" t="s">
        <v>32</v>
      </c>
      <c r="Q7" s="117" t="s">
        <v>16</v>
      </c>
      <c r="R7" s="567"/>
    </row>
    <row r="8" spans="1:21" s="115" customFormat="1" ht="20.25" customHeight="1">
      <c r="A8" s="277" t="s">
        <v>7</v>
      </c>
      <c r="B8" s="487">
        <f>0+0+215</f>
        <v>215</v>
      </c>
      <c r="C8" s="487"/>
      <c r="D8" s="487">
        <f>SUM(B8:C8)</f>
        <v>215</v>
      </c>
      <c r="E8" s="462">
        <f>B8</f>
        <v>215</v>
      </c>
      <c r="F8" s="517">
        <v>215</v>
      </c>
      <c r="G8" s="68">
        <f>F8*100/E8</f>
        <v>100</v>
      </c>
      <c r="H8" s="66"/>
      <c r="I8" s="66">
        <f>0+215+87</f>
        <v>302</v>
      </c>
      <c r="J8" s="66">
        <f>SUM(H8:I8)</f>
        <v>302</v>
      </c>
      <c r="K8" s="462"/>
      <c r="L8" s="70"/>
      <c r="M8" s="70"/>
      <c r="N8" s="70"/>
      <c r="O8" s="70"/>
      <c r="P8" s="71"/>
      <c r="Q8" s="348">
        <v>73</v>
      </c>
      <c r="R8" s="268"/>
    </row>
    <row r="9" spans="1:21" s="115" customFormat="1" ht="20.25" customHeight="1">
      <c r="A9" s="278" t="s">
        <v>8</v>
      </c>
      <c r="B9" s="488">
        <f>0+0+144</f>
        <v>144</v>
      </c>
      <c r="C9" s="488"/>
      <c r="D9" s="488">
        <f>SUM(B9:C9)</f>
        <v>144</v>
      </c>
      <c r="E9" s="486">
        <f>B9</f>
        <v>144</v>
      </c>
      <c r="F9" s="518">
        <v>144</v>
      </c>
      <c r="G9" s="65">
        <f>F9*100/E9</f>
        <v>100</v>
      </c>
      <c r="H9" s="34"/>
      <c r="I9" s="34">
        <f>202+0+0</f>
        <v>202</v>
      </c>
      <c r="J9" s="34">
        <f>SUM(H9:I9)</f>
        <v>202</v>
      </c>
      <c r="K9" s="486"/>
      <c r="L9" s="11"/>
      <c r="M9" s="11"/>
      <c r="N9" s="11"/>
      <c r="O9" s="11"/>
      <c r="P9" s="38"/>
      <c r="Q9" s="349">
        <v>49</v>
      </c>
      <c r="R9" s="260"/>
    </row>
    <row r="10" spans="1:21" s="115" customFormat="1" ht="20.25" customHeight="1">
      <c r="A10" s="278" t="s">
        <v>9</v>
      </c>
      <c r="B10" s="488">
        <f>0+0+200</f>
        <v>200</v>
      </c>
      <c r="C10" s="488"/>
      <c r="D10" s="488">
        <f>SUM(B10:C10)</f>
        <v>200</v>
      </c>
      <c r="E10" s="486">
        <f t="shared" ref="E10:E14" si="0">B10</f>
        <v>200</v>
      </c>
      <c r="F10" s="518">
        <v>200</v>
      </c>
      <c r="G10" s="65">
        <f>F10*100/E10</f>
        <v>100</v>
      </c>
      <c r="H10" s="34"/>
      <c r="I10" s="34">
        <f>0+0+280</f>
        <v>280</v>
      </c>
      <c r="J10" s="34">
        <f>SUM(H10:I10)</f>
        <v>280</v>
      </c>
      <c r="K10" s="486"/>
      <c r="L10" s="11"/>
      <c r="M10" s="11"/>
      <c r="N10" s="11"/>
      <c r="O10" s="11"/>
      <c r="P10" s="38"/>
      <c r="Q10" s="349">
        <v>68</v>
      </c>
      <c r="R10" s="260"/>
    </row>
    <row r="11" spans="1:21" s="115" customFormat="1" ht="20.25" customHeight="1">
      <c r="A11" s="278" t="s">
        <v>10</v>
      </c>
      <c r="B11" s="488">
        <f>0+0+320</f>
        <v>320</v>
      </c>
      <c r="C11" s="488"/>
      <c r="D11" s="488">
        <f t="shared" ref="D11:D14" si="1">SUM(B11:C11)</f>
        <v>320</v>
      </c>
      <c r="E11" s="486">
        <f t="shared" si="0"/>
        <v>320</v>
      </c>
      <c r="F11" s="518">
        <v>320</v>
      </c>
      <c r="G11" s="65">
        <f>F11*100/E11</f>
        <v>100</v>
      </c>
      <c r="H11" s="34">
        <f>128+0+0</f>
        <v>128</v>
      </c>
      <c r="I11" s="34">
        <f>0+320+0</f>
        <v>320</v>
      </c>
      <c r="J11" s="34">
        <f>SUM(H11:I11)</f>
        <v>448</v>
      </c>
      <c r="K11" s="486">
        <v>128</v>
      </c>
      <c r="L11" s="11">
        <v>128</v>
      </c>
      <c r="M11" s="11">
        <v>127</v>
      </c>
      <c r="N11" s="11">
        <v>1</v>
      </c>
      <c r="O11" s="11"/>
      <c r="P11" s="227"/>
      <c r="Q11" s="349">
        <v>109</v>
      </c>
      <c r="R11" s="260"/>
    </row>
    <row r="12" spans="1:21" s="115" customFormat="1" ht="20.25" customHeight="1">
      <c r="A12" s="278" t="s">
        <v>11</v>
      </c>
      <c r="B12" s="488">
        <f>0+0+144</f>
        <v>144</v>
      </c>
      <c r="C12" s="488"/>
      <c r="D12" s="488">
        <f t="shared" si="1"/>
        <v>144</v>
      </c>
      <c r="E12" s="486">
        <f t="shared" si="0"/>
        <v>144</v>
      </c>
      <c r="F12" s="518">
        <v>144</v>
      </c>
      <c r="G12" s="65">
        <f t="shared" ref="G12:G14" si="2">F12*100/E12</f>
        <v>100</v>
      </c>
      <c r="H12" s="34">
        <f>0+202+0</f>
        <v>202</v>
      </c>
      <c r="I12" s="220"/>
      <c r="J12" s="34">
        <f t="shared" ref="J12:J14" si="3">SUM(H12:I12)</f>
        <v>202</v>
      </c>
      <c r="K12" s="486"/>
      <c r="L12" s="11"/>
      <c r="M12" s="11"/>
      <c r="N12" s="11"/>
      <c r="O12" s="11"/>
      <c r="P12" s="38"/>
      <c r="Q12" s="349">
        <v>49</v>
      </c>
      <c r="R12" s="260"/>
    </row>
    <row r="13" spans="1:21" s="115" customFormat="1" ht="20.25" customHeight="1">
      <c r="A13" s="278" t="s">
        <v>12</v>
      </c>
      <c r="B13" s="488">
        <f>0+165+168</f>
        <v>333</v>
      </c>
      <c r="C13" s="488"/>
      <c r="D13" s="488">
        <f t="shared" si="1"/>
        <v>333</v>
      </c>
      <c r="E13" s="486">
        <f t="shared" si="0"/>
        <v>333</v>
      </c>
      <c r="F13" s="537">
        <v>223</v>
      </c>
      <c r="G13" s="65">
        <f t="shared" si="2"/>
        <v>66.966966966966964</v>
      </c>
      <c r="H13" s="34"/>
      <c r="I13" s="34">
        <f>0+230+236</f>
        <v>466</v>
      </c>
      <c r="J13" s="34">
        <f t="shared" si="3"/>
        <v>466</v>
      </c>
      <c r="K13" s="486"/>
      <c r="L13" s="11"/>
      <c r="M13" s="11"/>
      <c r="N13" s="11"/>
      <c r="O13" s="11"/>
      <c r="P13" s="38"/>
      <c r="Q13" s="349">
        <v>113</v>
      </c>
      <c r="R13" s="260"/>
    </row>
    <row r="14" spans="1:21" s="115" customFormat="1" ht="20.25" customHeight="1">
      <c r="A14" s="278" t="s">
        <v>13</v>
      </c>
      <c r="B14" s="488">
        <f>0+0+144</f>
        <v>144</v>
      </c>
      <c r="C14" s="488"/>
      <c r="D14" s="488">
        <f t="shared" si="1"/>
        <v>144</v>
      </c>
      <c r="E14" s="486">
        <f t="shared" si="0"/>
        <v>144</v>
      </c>
      <c r="F14" s="518">
        <v>144</v>
      </c>
      <c r="G14" s="65">
        <f t="shared" si="2"/>
        <v>100</v>
      </c>
      <c r="H14" s="34">
        <f>0+0+130</f>
        <v>130</v>
      </c>
      <c r="I14" s="34">
        <f>0+0+72</f>
        <v>72</v>
      </c>
      <c r="J14" s="34">
        <f t="shared" si="3"/>
        <v>202</v>
      </c>
      <c r="K14" s="486"/>
      <c r="L14" s="72"/>
      <c r="M14" s="72"/>
      <c r="N14" s="72"/>
      <c r="O14" s="72"/>
      <c r="P14" s="346"/>
      <c r="Q14" s="350">
        <v>49</v>
      </c>
      <c r="R14" s="347"/>
    </row>
    <row r="15" spans="1:21" s="115" customFormat="1" ht="20.25" customHeight="1">
      <c r="A15" s="121"/>
      <c r="B15" s="123">
        <f>SUM(B8:B14)</f>
        <v>1500</v>
      </c>
      <c r="C15" s="123">
        <f t="shared" ref="C15:D15" si="4">SUM(C8:C14)</f>
        <v>0</v>
      </c>
      <c r="D15" s="123">
        <f t="shared" si="4"/>
        <v>1500</v>
      </c>
      <c r="E15" s="123">
        <f>SUM(E8:E14)</f>
        <v>1500</v>
      </c>
      <c r="F15" s="481">
        <f>SUM(F8:F14)</f>
        <v>1390</v>
      </c>
      <c r="G15" s="123">
        <f>F15*100/E15</f>
        <v>92.666666666666671</v>
      </c>
      <c r="H15" s="122">
        <f>SUM(H8:H14)</f>
        <v>460</v>
      </c>
      <c r="I15" s="122">
        <f t="shared" ref="I15:J15" si="5">SUM(I8:I14)</f>
        <v>1642</v>
      </c>
      <c r="J15" s="122">
        <f t="shared" si="5"/>
        <v>2102</v>
      </c>
      <c r="K15" s="123">
        <f>SUM(K8:K14)</f>
        <v>128</v>
      </c>
      <c r="L15" s="543">
        <f>SUM(L8:L14)</f>
        <v>128</v>
      </c>
      <c r="M15" s="543">
        <f t="shared" ref="M15:N15" si="6">SUM(M8:M14)</f>
        <v>127</v>
      </c>
      <c r="N15" s="543">
        <f t="shared" si="6"/>
        <v>1</v>
      </c>
      <c r="O15" s="250"/>
      <c r="P15" s="122"/>
      <c r="Q15" s="351">
        <f>SUM(Q8:Q14)</f>
        <v>510</v>
      </c>
      <c r="R15" s="123"/>
      <c r="T15" s="219"/>
      <c r="U15" s="219"/>
    </row>
    <row r="16" spans="1:21" ht="13.5" customHeight="1">
      <c r="E16" s="124"/>
    </row>
    <row r="17" spans="2:15" ht="13.5" customHeight="1" thickBot="1">
      <c r="J17" s="124"/>
    </row>
    <row r="18" spans="2:15" ht="27.75" customHeight="1">
      <c r="B18" s="341" t="s">
        <v>45</v>
      </c>
      <c r="C18" s="282"/>
      <c r="D18" s="283"/>
      <c r="E18" s="282"/>
      <c r="F18" s="281"/>
      <c r="G18" s="281"/>
      <c r="H18" s="281"/>
      <c r="I18" s="342"/>
      <c r="J18" s="342"/>
      <c r="K18" s="342"/>
      <c r="L18" s="353"/>
      <c r="M18" s="48"/>
      <c r="N18" s="48"/>
      <c r="O18" s="48"/>
    </row>
    <row r="19" spans="2:15" ht="22.5" customHeight="1">
      <c r="B19" s="352" t="s">
        <v>14</v>
      </c>
      <c r="C19" s="343" t="s">
        <v>120</v>
      </c>
      <c r="D19" s="218"/>
      <c r="E19" s="218"/>
      <c r="F19" s="218"/>
      <c r="G19" s="218"/>
      <c r="H19" s="218"/>
      <c r="I19" s="218"/>
      <c r="J19" s="285" t="s">
        <v>104</v>
      </c>
      <c r="K19" s="285"/>
      <c r="L19" s="345"/>
      <c r="M19" s="48"/>
      <c r="N19" s="48"/>
      <c r="O19" s="48"/>
    </row>
    <row r="20" spans="2:15" ht="22.5" customHeight="1">
      <c r="B20" s="344"/>
      <c r="C20" s="343" t="s">
        <v>119</v>
      </c>
      <c r="D20" s="218"/>
      <c r="E20" s="218"/>
      <c r="F20" s="218"/>
      <c r="G20" s="218"/>
      <c r="H20" s="218"/>
      <c r="I20" s="218"/>
      <c r="J20" s="285" t="s">
        <v>70</v>
      </c>
      <c r="K20" s="285"/>
      <c r="L20" s="345"/>
      <c r="M20" s="48"/>
      <c r="N20" s="48"/>
      <c r="O20" s="48"/>
    </row>
    <row r="21" spans="2:15" ht="22.5" customHeight="1">
      <c r="B21" s="344"/>
      <c r="C21" s="343" t="s">
        <v>200</v>
      </c>
      <c r="D21" s="218"/>
      <c r="E21" s="218"/>
      <c r="F21" s="218"/>
      <c r="G21" s="218"/>
      <c r="H21" s="218"/>
      <c r="I21" s="218"/>
      <c r="J21" s="285" t="s">
        <v>74</v>
      </c>
      <c r="K21" s="285"/>
      <c r="L21" s="345"/>
      <c r="M21" s="48"/>
      <c r="N21" s="48"/>
      <c r="O21" s="48"/>
    </row>
    <row r="22" spans="2:15" ht="22.5" customHeight="1">
      <c r="B22" s="344"/>
      <c r="C22" s="343" t="s">
        <v>199</v>
      </c>
      <c r="D22" s="218"/>
      <c r="E22" s="218"/>
      <c r="F22" s="218"/>
      <c r="G22" s="218"/>
      <c r="H22" s="218"/>
      <c r="I22" s="218"/>
      <c r="J22" s="285"/>
      <c r="K22" s="285"/>
      <c r="L22" s="345"/>
      <c r="M22" s="48"/>
      <c r="N22" s="48"/>
      <c r="O22" s="48"/>
    </row>
    <row r="23" spans="2:15" ht="7.5" customHeight="1">
      <c r="B23" s="345"/>
      <c r="C23" s="285"/>
      <c r="D23" s="82"/>
      <c r="E23" s="82"/>
      <c r="F23" s="82"/>
      <c r="G23" s="82"/>
      <c r="H23" s="82"/>
      <c r="I23" s="55"/>
      <c r="J23" s="285"/>
      <c r="K23" s="285"/>
      <c r="L23" s="345"/>
      <c r="M23" s="48"/>
      <c r="N23" s="48"/>
      <c r="O23" s="48"/>
    </row>
    <row r="24" spans="2:15" ht="22.5" customHeight="1">
      <c r="B24" s="352" t="s">
        <v>30</v>
      </c>
      <c r="C24" s="343" t="s">
        <v>203</v>
      </c>
      <c r="D24" s="292"/>
      <c r="E24" s="292"/>
      <c r="F24" s="292"/>
      <c r="G24" s="292"/>
      <c r="H24" s="285"/>
      <c r="I24" s="285"/>
      <c r="J24" s="285" t="s">
        <v>74</v>
      </c>
      <c r="K24" s="285"/>
      <c r="L24" s="345"/>
      <c r="M24" s="48"/>
      <c r="N24" s="48"/>
      <c r="O24" s="48"/>
    </row>
    <row r="25" spans="2:15" ht="22.5" customHeight="1">
      <c r="B25" s="352"/>
      <c r="C25" s="343" t="s">
        <v>202</v>
      </c>
      <c r="D25" s="292"/>
      <c r="E25" s="292"/>
      <c r="F25" s="292"/>
      <c r="G25" s="292"/>
      <c r="H25" s="285"/>
      <c r="I25" s="285"/>
      <c r="J25" s="285"/>
      <c r="K25" s="285"/>
      <c r="L25" s="345"/>
      <c r="M25" s="48"/>
      <c r="N25" s="48"/>
      <c r="O25" s="48"/>
    </row>
    <row r="26" spans="2:15" ht="18" customHeight="1" thickBot="1">
      <c r="B26" s="287"/>
      <c r="C26" s="288"/>
      <c r="D26" s="288"/>
      <c r="E26" s="288"/>
      <c r="F26" s="288"/>
      <c r="G26" s="288"/>
      <c r="H26" s="288"/>
      <c r="I26" s="288"/>
      <c r="J26" s="296"/>
      <c r="K26" s="296"/>
      <c r="L26" s="345"/>
      <c r="M26" s="48"/>
      <c r="N26" s="48"/>
      <c r="O26" s="48"/>
    </row>
    <row r="27" spans="2:15" ht="27.75" customHeight="1">
      <c r="B27" s="52"/>
      <c r="C27" s="52"/>
      <c r="D27" s="52"/>
      <c r="E27" s="52"/>
      <c r="F27" s="52"/>
      <c r="G27" s="52"/>
      <c r="H27" s="52"/>
      <c r="I27" s="48"/>
      <c r="J27" s="48"/>
      <c r="K27" s="48"/>
      <c r="L27" s="48"/>
      <c r="M27" s="48"/>
      <c r="N27" s="48"/>
      <c r="O27" s="48"/>
    </row>
    <row r="28" spans="2:15" ht="27.75" customHeight="1">
      <c r="B28" s="52"/>
      <c r="C28" s="52" t="s">
        <v>201</v>
      </c>
      <c r="D28" s="52"/>
      <c r="E28" s="52"/>
      <c r="F28" s="52"/>
      <c r="G28" s="52"/>
      <c r="H28" s="52"/>
      <c r="I28" s="48"/>
      <c r="J28" s="48"/>
      <c r="K28" s="48"/>
      <c r="L28" s="48"/>
      <c r="M28" s="48"/>
      <c r="N28" s="48"/>
      <c r="O28" s="48"/>
    </row>
    <row r="29" spans="2:15" ht="27.75" customHeight="1">
      <c r="C29" s="54" t="s">
        <v>121</v>
      </c>
    </row>
  </sheetData>
  <mergeCells count="23">
    <mergeCell ref="R6:R7"/>
    <mergeCell ref="P4:R5"/>
    <mergeCell ref="P6:Q6"/>
    <mergeCell ref="O6:O7"/>
    <mergeCell ref="H4:O4"/>
    <mergeCell ref="M6:M7"/>
    <mergeCell ref="N6:N7"/>
    <mergeCell ref="M5:O5"/>
    <mergeCell ref="A4:A7"/>
    <mergeCell ref="F5:G5"/>
    <mergeCell ref="H5:J5"/>
    <mergeCell ref="L5:L7"/>
    <mergeCell ref="A1:O1"/>
    <mergeCell ref="A2:O2"/>
    <mergeCell ref="A3:O3"/>
    <mergeCell ref="B4:G4"/>
    <mergeCell ref="B5:D5"/>
    <mergeCell ref="E5:E7"/>
    <mergeCell ref="K5:K7"/>
    <mergeCell ref="H6:J6"/>
    <mergeCell ref="B6:D6"/>
    <mergeCell ref="F6:F7"/>
    <mergeCell ref="G6:G7"/>
  </mergeCells>
  <phoneticPr fontId="9" type="noConversion"/>
  <printOptions horizontalCentered="1"/>
  <pageMargins left="0.12" right="0" top="0" bottom="0" header="0.51181102362204722" footer="0.51181102362204722"/>
  <pageSetup paperSize="9" scale="90" orientation="landscape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43"/>
  <sheetViews>
    <sheetView workbookViewId="0">
      <selection activeCell="N12" sqref="N12"/>
    </sheetView>
  </sheetViews>
  <sheetFormatPr defaultRowHeight="27.75" customHeight="1"/>
  <cols>
    <col min="1" max="1" width="7.7109375" style="53" customWidth="1"/>
    <col min="2" max="2" width="6.42578125" style="53" customWidth="1"/>
    <col min="3" max="4" width="4.7109375" style="53" customWidth="1"/>
    <col min="5" max="5" width="6.28515625" style="53" customWidth="1"/>
    <col min="6" max="6" width="6.5703125" style="53" customWidth="1"/>
    <col min="7" max="7" width="5.42578125" style="53" customWidth="1"/>
    <col min="8" max="8" width="5.85546875" style="53" customWidth="1"/>
    <col min="9" max="9" width="4.85546875" style="53" customWidth="1"/>
    <col min="10" max="10" width="5.85546875" style="53" customWidth="1"/>
    <col min="11" max="11" width="5.7109375" style="53" customWidth="1"/>
    <col min="12" max="12" width="6.7109375" style="53" customWidth="1"/>
    <col min="13" max="13" width="6.42578125" style="53" customWidth="1"/>
    <col min="14" max="15" width="5.140625" style="53" customWidth="1"/>
    <col min="16" max="16" width="5.42578125" style="53" customWidth="1"/>
    <col min="17" max="17" width="6.140625" style="53" customWidth="1"/>
    <col min="18" max="19" width="5.28515625" style="53" customWidth="1"/>
    <col min="20" max="21" width="5.140625" style="53" customWidth="1"/>
    <col min="22" max="22" width="5.28515625" style="53" customWidth="1"/>
    <col min="23" max="23" width="6.140625" style="53" customWidth="1"/>
    <col min="24" max="24" width="8" style="53" customWidth="1"/>
    <col min="25" max="25" width="9" style="53" customWidth="1"/>
    <col min="26" max="26" width="8.5703125" style="53" customWidth="1"/>
    <col min="27" max="28" width="6.7109375" style="53" customWidth="1"/>
    <col min="29" max="29" width="11.5703125" style="53" customWidth="1"/>
    <col min="30" max="16384" width="9.140625" style="53"/>
  </cols>
  <sheetData>
    <row r="1" spans="1:69" ht="24" customHeight="1">
      <c r="A1" s="630" t="str">
        <f>'(PD-RD1)_พัฒนาภูมิปัญญาฯ'!A1:Z1</f>
        <v>รายละเอียดแผนการปฏิบัติงานและความก้าวหน้าผลการปฏิบัติงาน ณ วันที่  31  มกราคม 2559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  <c r="T1" s="630"/>
      <c r="U1" s="630"/>
      <c r="V1" s="630"/>
      <c r="W1" s="630"/>
      <c r="X1" s="630"/>
      <c r="Y1" s="630"/>
      <c r="Z1" s="630"/>
      <c r="AA1" s="630"/>
      <c r="AB1" s="630"/>
    </row>
    <row r="2" spans="1:69" ht="22.5" customHeight="1">
      <c r="A2" s="630" t="s"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</row>
    <row r="3" spans="1:69" s="79" customFormat="1" ht="29.25" customHeight="1">
      <c r="A3" s="375" t="s">
        <v>128</v>
      </c>
      <c r="Z3" s="86"/>
    </row>
    <row r="4" spans="1:69" s="79" customFormat="1" ht="49.5" customHeight="1">
      <c r="A4" s="637" t="s">
        <v>14</v>
      </c>
      <c r="B4" s="632" t="s">
        <v>43</v>
      </c>
      <c r="C4" s="633"/>
      <c r="D4" s="634"/>
      <c r="E4" s="634"/>
      <c r="F4" s="634"/>
      <c r="G4" s="635"/>
      <c r="H4" s="632" t="s">
        <v>37</v>
      </c>
      <c r="I4" s="633"/>
      <c r="J4" s="633"/>
      <c r="K4" s="633"/>
      <c r="L4" s="633"/>
      <c r="M4" s="636"/>
      <c r="N4" s="632" t="s">
        <v>68</v>
      </c>
      <c r="O4" s="633"/>
      <c r="P4" s="633"/>
      <c r="Q4" s="633"/>
      <c r="R4" s="633"/>
      <c r="S4" s="636"/>
      <c r="T4" s="632" t="s">
        <v>69</v>
      </c>
      <c r="U4" s="633"/>
      <c r="V4" s="633"/>
      <c r="W4" s="633"/>
      <c r="X4" s="633"/>
      <c r="Y4" s="633"/>
      <c r="Z4" s="631" t="s">
        <v>44</v>
      </c>
      <c r="AA4" s="631"/>
      <c r="AB4" s="631"/>
    </row>
    <row r="5" spans="1:69" s="79" customFormat="1" ht="23.25" customHeight="1">
      <c r="A5" s="638"/>
      <c r="B5" s="624" t="s">
        <v>5</v>
      </c>
      <c r="C5" s="625"/>
      <c r="D5" s="625"/>
      <c r="E5" s="626"/>
      <c r="F5" s="640" t="s">
        <v>19</v>
      </c>
      <c r="G5" s="641"/>
      <c r="H5" s="648" t="s">
        <v>5</v>
      </c>
      <c r="I5" s="648"/>
      <c r="J5" s="648"/>
      <c r="K5" s="648"/>
      <c r="L5" s="640" t="s">
        <v>19</v>
      </c>
      <c r="M5" s="641"/>
      <c r="N5" s="648" t="s">
        <v>25</v>
      </c>
      <c r="O5" s="648"/>
      <c r="P5" s="648"/>
      <c r="Q5" s="648"/>
      <c r="R5" s="640" t="s">
        <v>19</v>
      </c>
      <c r="S5" s="641"/>
      <c r="T5" s="648" t="s">
        <v>25</v>
      </c>
      <c r="U5" s="648"/>
      <c r="V5" s="648"/>
      <c r="W5" s="648"/>
      <c r="X5" s="629" t="s">
        <v>19</v>
      </c>
      <c r="Y5" s="629"/>
      <c r="Z5" s="643" t="s">
        <v>31</v>
      </c>
      <c r="AA5" s="644"/>
      <c r="AB5" s="647" t="s">
        <v>4</v>
      </c>
    </row>
    <row r="6" spans="1:69" s="79" customFormat="1" ht="23.25" customHeight="1">
      <c r="A6" s="638"/>
      <c r="B6" s="621" t="s">
        <v>1</v>
      </c>
      <c r="C6" s="622"/>
      <c r="D6" s="623"/>
      <c r="E6" s="627" t="s">
        <v>24</v>
      </c>
      <c r="F6" s="642"/>
      <c r="G6" s="579"/>
      <c r="H6" s="648" t="s">
        <v>1</v>
      </c>
      <c r="I6" s="648"/>
      <c r="J6" s="648"/>
      <c r="K6" s="649" t="s">
        <v>24</v>
      </c>
      <c r="L6" s="642"/>
      <c r="M6" s="579"/>
      <c r="N6" s="648" t="s">
        <v>1</v>
      </c>
      <c r="O6" s="648"/>
      <c r="P6" s="648"/>
      <c r="Q6" s="649" t="s">
        <v>24</v>
      </c>
      <c r="R6" s="642"/>
      <c r="S6" s="579"/>
      <c r="T6" s="648" t="s">
        <v>1</v>
      </c>
      <c r="U6" s="648"/>
      <c r="V6" s="648"/>
      <c r="W6" s="649" t="s">
        <v>24</v>
      </c>
      <c r="X6" s="629" t="s">
        <v>63</v>
      </c>
      <c r="Y6" s="629" t="s">
        <v>27</v>
      </c>
      <c r="Z6" s="645"/>
      <c r="AA6" s="646"/>
      <c r="AB6" s="647"/>
    </row>
    <row r="7" spans="1:69" s="79" customFormat="1" ht="48" customHeight="1">
      <c r="A7" s="639"/>
      <c r="B7" s="354">
        <v>1</v>
      </c>
      <c r="C7" s="354">
        <v>2</v>
      </c>
      <c r="D7" s="354" t="s">
        <v>3</v>
      </c>
      <c r="E7" s="628"/>
      <c r="F7" s="94" t="s">
        <v>20</v>
      </c>
      <c r="G7" s="94" t="s">
        <v>2</v>
      </c>
      <c r="H7" s="354">
        <v>1</v>
      </c>
      <c r="I7" s="354">
        <v>2</v>
      </c>
      <c r="J7" s="354" t="s">
        <v>3</v>
      </c>
      <c r="K7" s="628"/>
      <c r="L7" s="94" t="s">
        <v>21</v>
      </c>
      <c r="M7" s="94" t="s">
        <v>2</v>
      </c>
      <c r="N7" s="354">
        <v>2</v>
      </c>
      <c r="O7" s="354">
        <v>3</v>
      </c>
      <c r="P7" s="354" t="s">
        <v>3</v>
      </c>
      <c r="Q7" s="628"/>
      <c r="R7" s="94" t="s">
        <v>21</v>
      </c>
      <c r="S7" s="94" t="s">
        <v>2</v>
      </c>
      <c r="T7" s="354">
        <v>2</v>
      </c>
      <c r="U7" s="354">
        <v>3</v>
      </c>
      <c r="V7" s="354" t="s">
        <v>3</v>
      </c>
      <c r="W7" s="628"/>
      <c r="X7" s="629"/>
      <c r="Y7" s="629"/>
      <c r="Z7" s="149" t="s">
        <v>32</v>
      </c>
      <c r="AA7" s="149" t="s">
        <v>16</v>
      </c>
      <c r="AB7" s="647"/>
    </row>
    <row r="8" spans="1:69" s="79" customFormat="1" ht="24.75" customHeight="1">
      <c r="A8" s="150" t="s">
        <v>7</v>
      </c>
      <c r="B8" s="87">
        <f>0+3+0</f>
        <v>3</v>
      </c>
      <c r="C8" s="87"/>
      <c r="D8" s="87">
        <f>SUM(B8:C8)</f>
        <v>3</v>
      </c>
      <c r="E8" s="87">
        <f>B8</f>
        <v>3</v>
      </c>
      <c r="F8" s="151">
        <v>3</v>
      </c>
      <c r="G8" s="152">
        <f t="shared" ref="G8:G13" si="0">F8*100/E8</f>
        <v>100</v>
      </c>
      <c r="H8" s="87">
        <f>0+100+0</f>
        <v>100</v>
      </c>
      <c r="I8" s="87"/>
      <c r="J8" s="87">
        <f>SUM(H8:I8)</f>
        <v>100</v>
      </c>
      <c r="K8" s="153">
        <f>0+100</f>
        <v>100</v>
      </c>
      <c r="L8" s="151">
        <v>100</v>
      </c>
      <c r="M8" s="152">
        <f t="shared" ref="M8:M13" si="1">L8*100/K8</f>
        <v>100</v>
      </c>
      <c r="N8" s="87">
        <f>0+0+50</f>
        <v>50</v>
      </c>
      <c r="O8" s="215"/>
      <c r="P8" s="87">
        <f>SUM(N8:O8)</f>
        <v>50</v>
      </c>
      <c r="Q8" s="154"/>
      <c r="R8" s="243"/>
      <c r="S8" s="152"/>
      <c r="T8" s="87"/>
      <c r="U8" s="87">
        <f>0+0+50</f>
        <v>50</v>
      </c>
      <c r="V8" s="87">
        <f>SUM(T8:U8)</f>
        <v>50</v>
      </c>
      <c r="W8" s="153"/>
      <c r="X8" s="243"/>
      <c r="Y8" s="243"/>
      <c r="Z8" s="255">
        <v>21702</v>
      </c>
      <c r="AA8" s="155">
        <v>10</v>
      </c>
      <c r="AB8" s="156"/>
    </row>
    <row r="9" spans="1:69" s="79" customFormat="1" ht="24.75" customHeight="1">
      <c r="A9" s="157" t="s">
        <v>10</v>
      </c>
      <c r="B9" s="158">
        <f>0+4+0</f>
        <v>4</v>
      </c>
      <c r="C9" s="355"/>
      <c r="D9" s="158">
        <f>SUM(B9:C9)</f>
        <v>4</v>
      </c>
      <c r="E9" s="355">
        <f>B9</f>
        <v>4</v>
      </c>
      <c r="F9" s="159">
        <v>4</v>
      </c>
      <c r="G9" s="160">
        <f t="shared" si="0"/>
        <v>100</v>
      </c>
      <c r="H9" s="158">
        <f>0+0+100</f>
        <v>100</v>
      </c>
      <c r="I9" s="158"/>
      <c r="J9" s="158">
        <f>SUM(H9:I9)</f>
        <v>100</v>
      </c>
      <c r="K9" s="161">
        <f>H9</f>
        <v>100</v>
      </c>
      <c r="L9" s="159">
        <v>100</v>
      </c>
      <c r="M9" s="160">
        <f t="shared" si="1"/>
        <v>100</v>
      </c>
      <c r="N9" s="158"/>
      <c r="O9" s="158">
        <f>50+0+0</f>
        <v>50</v>
      </c>
      <c r="P9" s="158">
        <f>SUM(N9:O9)</f>
        <v>50</v>
      </c>
      <c r="Q9" s="162"/>
      <c r="R9" s="159"/>
      <c r="S9" s="160"/>
      <c r="T9" s="158"/>
      <c r="U9" s="158">
        <f>0+0+50</f>
        <v>50</v>
      </c>
      <c r="V9" s="158">
        <f>SUM(T9:U9)</f>
        <v>50</v>
      </c>
      <c r="W9" s="153"/>
      <c r="X9" s="151"/>
      <c r="Y9" s="151"/>
      <c r="Z9" s="256">
        <v>21702</v>
      </c>
      <c r="AA9" s="164">
        <v>10</v>
      </c>
      <c r="AB9" s="165"/>
      <c r="AC9" s="257"/>
    </row>
    <row r="10" spans="1:69" s="79" customFormat="1" ht="24.75" customHeight="1">
      <c r="A10" s="157" t="s">
        <v>11</v>
      </c>
      <c r="B10" s="158">
        <f>0+4+0</f>
        <v>4</v>
      </c>
      <c r="C10" s="355"/>
      <c r="D10" s="158">
        <f t="shared" ref="D10:D12" si="2">SUM(B10:C10)</f>
        <v>4</v>
      </c>
      <c r="E10" s="355">
        <f t="shared" ref="E10:E12" si="3">B10</f>
        <v>4</v>
      </c>
      <c r="F10" s="159">
        <v>4</v>
      </c>
      <c r="G10" s="160">
        <f t="shared" si="0"/>
        <v>100</v>
      </c>
      <c r="H10" s="158">
        <f>0+0+100</f>
        <v>100</v>
      </c>
      <c r="I10" s="158"/>
      <c r="J10" s="158">
        <f>SUM(H10:I10)</f>
        <v>100</v>
      </c>
      <c r="K10" s="161">
        <f t="shared" ref="K10:K12" si="4">H10</f>
        <v>100</v>
      </c>
      <c r="L10" s="159">
        <v>100</v>
      </c>
      <c r="M10" s="160">
        <f t="shared" si="1"/>
        <v>100</v>
      </c>
      <c r="N10" s="158">
        <f>0+0+50</f>
        <v>50</v>
      </c>
      <c r="O10" s="158"/>
      <c r="P10" s="158">
        <f>SUM(N10:O10)</f>
        <v>50</v>
      </c>
      <c r="Q10" s="162"/>
      <c r="R10" s="159"/>
      <c r="S10" s="160"/>
      <c r="T10" s="158"/>
      <c r="U10" s="158">
        <f>0+0+50</f>
        <v>50</v>
      </c>
      <c r="V10" s="158">
        <f>SUM(T10:U10)</f>
        <v>50</v>
      </c>
      <c r="W10" s="153"/>
      <c r="X10" s="151"/>
      <c r="Y10" s="151"/>
      <c r="Z10" s="163">
        <v>21732</v>
      </c>
      <c r="AA10" s="164">
        <v>10</v>
      </c>
      <c r="AB10" s="266"/>
      <c r="AC10" s="257"/>
    </row>
    <row r="11" spans="1:69" s="79" customFormat="1" ht="24.75" customHeight="1">
      <c r="A11" s="157" t="s">
        <v>12</v>
      </c>
      <c r="B11" s="158">
        <f>0+4+0</f>
        <v>4</v>
      </c>
      <c r="C11" s="355"/>
      <c r="D11" s="158">
        <f t="shared" si="2"/>
        <v>4</v>
      </c>
      <c r="E11" s="355">
        <f t="shared" si="3"/>
        <v>4</v>
      </c>
      <c r="F11" s="159">
        <v>4</v>
      </c>
      <c r="G11" s="160">
        <f t="shared" si="0"/>
        <v>100</v>
      </c>
      <c r="H11" s="158">
        <f>0+0+100</f>
        <v>100</v>
      </c>
      <c r="I11" s="158"/>
      <c r="J11" s="158">
        <f>SUM(H11:I11)</f>
        <v>100</v>
      </c>
      <c r="K11" s="161">
        <f t="shared" si="4"/>
        <v>100</v>
      </c>
      <c r="L11" s="159">
        <v>100</v>
      </c>
      <c r="M11" s="160">
        <f t="shared" si="1"/>
        <v>100</v>
      </c>
      <c r="N11" s="158"/>
      <c r="O11" s="158">
        <f>50+0+0</f>
        <v>50</v>
      </c>
      <c r="P11" s="158">
        <f>SUM(N11:O11)</f>
        <v>50</v>
      </c>
      <c r="Q11" s="162"/>
      <c r="R11" s="159"/>
      <c r="S11" s="160"/>
      <c r="T11" s="158"/>
      <c r="U11" s="158">
        <f>0+0+50</f>
        <v>50</v>
      </c>
      <c r="V11" s="158">
        <f>SUM(T11:U11)</f>
        <v>50</v>
      </c>
      <c r="W11" s="153"/>
      <c r="X11" s="151"/>
      <c r="Y11" s="151"/>
      <c r="Z11" s="163">
        <v>21702</v>
      </c>
      <c r="AA11" s="164">
        <v>10</v>
      </c>
      <c r="AB11" s="165"/>
      <c r="AC11" s="257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</row>
    <row r="12" spans="1:69" s="172" customFormat="1" ht="24.75" customHeight="1">
      <c r="A12" s="166" t="s">
        <v>13</v>
      </c>
      <c r="B12" s="212">
        <f>0+0+3</f>
        <v>3</v>
      </c>
      <c r="C12" s="212"/>
      <c r="D12" s="212">
        <f t="shared" si="2"/>
        <v>3</v>
      </c>
      <c r="E12" s="212">
        <f t="shared" si="3"/>
        <v>3</v>
      </c>
      <c r="F12" s="167">
        <v>3</v>
      </c>
      <c r="G12" s="532">
        <f t="shared" si="0"/>
        <v>100</v>
      </c>
      <c r="H12" s="212">
        <f>0+0+100</f>
        <v>100</v>
      </c>
      <c r="I12" s="212"/>
      <c r="J12" s="212">
        <f>SUM(H12:I12)</f>
        <v>100</v>
      </c>
      <c r="K12" s="168">
        <f t="shared" si="4"/>
        <v>100</v>
      </c>
      <c r="L12" s="167">
        <v>100</v>
      </c>
      <c r="M12" s="532">
        <f t="shared" si="1"/>
        <v>100</v>
      </c>
      <c r="N12" s="212">
        <f>0+0+50</f>
        <v>50</v>
      </c>
      <c r="O12" s="212"/>
      <c r="P12" s="212">
        <f>SUM(N12:O12)</f>
        <v>50</v>
      </c>
      <c r="Q12" s="168"/>
      <c r="R12" s="167"/>
      <c r="S12" s="234"/>
      <c r="T12" s="212"/>
      <c r="U12" s="212">
        <f>0+0+50</f>
        <v>50</v>
      </c>
      <c r="V12" s="212">
        <f>SUM(T12:U12)</f>
        <v>50</v>
      </c>
      <c r="W12" s="168"/>
      <c r="X12" s="167"/>
      <c r="Y12" s="167"/>
      <c r="Z12" s="169">
        <v>21702</v>
      </c>
      <c r="AA12" s="170">
        <v>10</v>
      </c>
      <c r="AB12" s="171"/>
      <c r="AC12" s="257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</row>
    <row r="13" spans="1:69" s="79" customFormat="1" ht="24.75" customHeight="1">
      <c r="A13" s="173" t="s">
        <v>6</v>
      </c>
      <c r="B13" s="356">
        <f>SUM(B8:B12)</f>
        <v>18</v>
      </c>
      <c r="C13" s="356"/>
      <c r="D13" s="2">
        <f>SUM(D8:D12)</f>
        <v>18</v>
      </c>
      <c r="E13" s="2">
        <f>SUM(E8:E12)</f>
        <v>18</v>
      </c>
      <c r="F13" s="1">
        <f>SUM(F8:F12)</f>
        <v>18</v>
      </c>
      <c r="G13" s="1">
        <f t="shared" si="0"/>
        <v>100</v>
      </c>
      <c r="H13" s="3">
        <f>SUM(H8:H12)</f>
        <v>500</v>
      </c>
      <c r="I13" s="3">
        <f>SUM(I8:I12)</f>
        <v>0</v>
      </c>
      <c r="J13" s="3">
        <f>SUM(J8:J12)</f>
        <v>500</v>
      </c>
      <c r="K13" s="20">
        <f t="shared" ref="K13" si="5">SUM(K8:K12)</f>
        <v>500</v>
      </c>
      <c r="L13" s="1">
        <f>SUM(L8:L12)</f>
        <v>500</v>
      </c>
      <c r="M13" s="1">
        <f t="shared" si="1"/>
        <v>100</v>
      </c>
      <c r="N13" s="3">
        <f>SUM(N8:N12)</f>
        <v>150</v>
      </c>
      <c r="O13" s="3">
        <f>SUM(O8:O12)</f>
        <v>100</v>
      </c>
      <c r="P13" s="3">
        <f>SUM(P8:P12)</f>
        <v>250</v>
      </c>
      <c r="Q13" s="20"/>
      <c r="R13" s="1"/>
      <c r="S13" s="1"/>
      <c r="T13" s="3"/>
      <c r="U13" s="3">
        <f>SUM(U8:U12)</f>
        <v>250</v>
      </c>
      <c r="V13" s="3">
        <f t="shared" ref="V13" si="6">SUM(V8:V12)</f>
        <v>250</v>
      </c>
      <c r="W13" s="20"/>
      <c r="X13" s="1"/>
      <c r="Y13" s="258"/>
      <c r="Z13" s="145"/>
      <c r="AA13" s="173">
        <f>SUM(AA8:AA12)</f>
        <v>50</v>
      </c>
      <c r="AB13" s="173">
        <f>SUM(AB8:AB12)</f>
        <v>0</v>
      </c>
      <c r="AC13" s="257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</row>
    <row r="14" spans="1:69" ht="27" customHeight="1" thickBot="1">
      <c r="A14" s="148"/>
      <c r="X14" s="88" t="s">
        <v>66</v>
      </c>
      <c r="Y14" s="89">
        <f>Y13*100/J13</f>
        <v>0</v>
      </c>
      <c r="AC14" s="79"/>
      <c r="BF14" s="254"/>
      <c r="BG14" s="254"/>
      <c r="BH14" s="252"/>
      <c r="BI14" s="253"/>
      <c r="BJ14" s="253"/>
      <c r="BK14" s="253"/>
      <c r="BL14" s="253"/>
      <c r="BM14" s="253"/>
      <c r="BN14" s="253"/>
      <c r="BO14" s="253"/>
      <c r="BP14" s="252"/>
      <c r="BQ14" s="253"/>
    </row>
    <row r="15" spans="1:69" s="79" customFormat="1" ht="12.75" customHeight="1" thickTop="1" thickBot="1">
      <c r="B15" s="174"/>
      <c r="C15" s="174"/>
      <c r="D15" s="175"/>
      <c r="E15" s="175"/>
      <c r="F15" s="176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</row>
    <row r="16" spans="1:69" ht="18" customHeight="1">
      <c r="A16" s="95"/>
      <c r="B16" s="357" t="s">
        <v>45</v>
      </c>
      <c r="C16" s="358"/>
      <c r="D16" s="359"/>
      <c r="E16" s="359"/>
      <c r="F16" s="359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1"/>
      <c r="S16" s="362"/>
      <c r="AC16" s="79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2"/>
    </row>
    <row r="17" spans="1:69" ht="18" customHeight="1">
      <c r="B17" s="370" t="s">
        <v>14</v>
      </c>
      <c r="C17" s="369" t="s">
        <v>122</v>
      </c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 t="s">
        <v>104</v>
      </c>
      <c r="O17" s="363"/>
      <c r="P17" s="363"/>
      <c r="Q17" s="363"/>
      <c r="R17" s="364"/>
      <c r="S17" s="362"/>
      <c r="BF17" s="254"/>
      <c r="BG17" s="254"/>
      <c r="BH17" s="254"/>
      <c r="BI17" s="252"/>
      <c r="BJ17" s="252"/>
      <c r="BK17" s="252"/>
      <c r="BL17" s="252"/>
      <c r="BM17" s="252"/>
      <c r="BN17" s="252"/>
      <c r="BO17" s="252"/>
      <c r="BP17" s="254"/>
      <c r="BQ17" s="252"/>
    </row>
    <row r="18" spans="1:69" ht="18" customHeight="1">
      <c r="B18" s="365"/>
      <c r="C18" s="371" t="s">
        <v>123</v>
      </c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618" t="s">
        <v>70</v>
      </c>
      <c r="O18" s="618"/>
      <c r="P18" s="618"/>
      <c r="Q18" s="363"/>
      <c r="R18" s="364"/>
      <c r="S18" s="362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2"/>
    </row>
    <row r="19" spans="1:69" ht="18" customHeight="1">
      <c r="B19" s="365"/>
      <c r="C19" s="373" t="s">
        <v>124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619"/>
      <c r="O19" s="619"/>
      <c r="P19" s="619"/>
      <c r="Q19" s="363"/>
      <c r="R19" s="364"/>
      <c r="S19" s="362"/>
      <c r="BF19" s="254"/>
      <c r="BG19" s="254"/>
      <c r="BH19" s="254"/>
      <c r="BI19" s="254"/>
      <c r="BJ19" s="254"/>
      <c r="BK19" s="254"/>
      <c r="BL19" s="254"/>
      <c r="BM19" s="254"/>
      <c r="BN19" s="254"/>
      <c r="BO19" s="254"/>
      <c r="BP19" s="254"/>
      <c r="BQ19" s="254"/>
    </row>
    <row r="20" spans="1:69" ht="18" customHeight="1">
      <c r="B20" s="365"/>
      <c r="C20" s="371" t="s">
        <v>125</v>
      </c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618" t="s">
        <v>74</v>
      </c>
      <c r="O20" s="618"/>
      <c r="P20" s="618"/>
      <c r="Q20" s="363"/>
      <c r="R20" s="364"/>
      <c r="S20" s="362"/>
      <c r="BF20" s="254"/>
      <c r="BG20" s="254"/>
      <c r="BH20" s="254"/>
      <c r="BI20" s="254"/>
      <c r="BJ20" s="254"/>
      <c r="BK20" s="254"/>
      <c r="BL20" s="254"/>
      <c r="BM20" s="254"/>
      <c r="BN20" s="254"/>
      <c r="BO20" s="254"/>
      <c r="BP20" s="254"/>
      <c r="BQ20" s="254"/>
    </row>
    <row r="21" spans="1:69" ht="18" customHeight="1">
      <c r="B21" s="365"/>
      <c r="C21" s="373" t="s">
        <v>126</v>
      </c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619"/>
      <c r="O21" s="619"/>
      <c r="P21" s="619"/>
      <c r="Q21" s="363"/>
      <c r="R21" s="364"/>
      <c r="S21" s="362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</row>
    <row r="22" spans="1:69" ht="11.25" customHeight="1">
      <c r="B22" s="365"/>
      <c r="C22" s="369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4"/>
      <c r="S22" s="362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</row>
    <row r="23" spans="1:69" ht="18" customHeight="1">
      <c r="B23" s="370" t="s">
        <v>30</v>
      </c>
      <c r="C23" s="369" t="s">
        <v>127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620" t="s">
        <v>71</v>
      </c>
      <c r="O23" s="620"/>
      <c r="P23" s="620"/>
      <c r="Q23" s="363"/>
      <c r="R23" s="364"/>
      <c r="S23" s="362"/>
      <c r="W23" s="247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</row>
    <row r="24" spans="1:69" ht="18" customHeight="1" thickBot="1">
      <c r="B24" s="368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S24" s="362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</row>
    <row r="25" spans="1:69" s="79" customFormat="1" ht="20.100000000000001" customHeight="1">
      <c r="A25" s="85"/>
      <c r="B25" s="85"/>
      <c r="C25" s="85"/>
      <c r="D25" s="177"/>
      <c r="E25" s="177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</row>
    <row r="26" spans="1:69" s="79" customFormat="1" ht="20.100000000000001" customHeight="1">
      <c r="A26" s="178"/>
      <c r="B26" s="85"/>
      <c r="C26" s="85"/>
      <c r="D26" s="179"/>
      <c r="E26" s="179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</row>
    <row r="27" spans="1:69" s="79" customFormat="1" ht="20.100000000000001" customHeight="1">
      <c r="A27" s="84"/>
      <c r="B27" s="85"/>
      <c r="C27" s="85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69" s="79" customFormat="1" ht="20.100000000000001" customHeight="1">
      <c r="A28" s="84"/>
      <c r="B28" s="85"/>
      <c r="C28" s="85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69" s="79" customFormat="1" ht="20.100000000000001" customHeight="1">
      <c r="A29" s="178"/>
      <c r="B29" s="85"/>
      <c r="C29" s="85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69" s="79" customFormat="1" ht="20.100000000000001" customHeight="1">
      <c r="A30" s="84"/>
      <c r="B30" s="180"/>
      <c r="C30" s="18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69" ht="20.100000000000001" customHeight="1">
      <c r="A31" s="84"/>
      <c r="B31" s="85"/>
      <c r="C31" s="85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69" ht="20.100000000000001" customHeight="1">
      <c r="A32" s="84"/>
      <c r="B32" s="85"/>
      <c r="C32" s="85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20.100000000000001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20.100000000000001" customHeight="1"/>
    <row r="35" spans="1:25" ht="20.100000000000001" customHeight="1"/>
    <row r="36" spans="1:25" ht="20.100000000000001" customHeight="1"/>
    <row r="37" spans="1:25" ht="20.100000000000001" customHeight="1"/>
    <row r="38" spans="1:25" ht="25.5" customHeight="1"/>
    <row r="39" spans="1:25" ht="25.5" customHeight="1"/>
    <row r="40" spans="1:25" ht="25.5" customHeight="1"/>
    <row r="41" spans="1:25" ht="25.5" customHeight="1"/>
    <row r="42" spans="1:25" ht="18" customHeight="1"/>
    <row r="43" spans="1:25" ht="18" customHeight="1"/>
  </sheetData>
  <mergeCells count="31">
    <mergeCell ref="W6:W7"/>
    <mergeCell ref="H5:K5"/>
    <mergeCell ref="L5:M6"/>
    <mergeCell ref="N5:Q5"/>
    <mergeCell ref="R5:S6"/>
    <mergeCell ref="T5:W5"/>
    <mergeCell ref="K6:K7"/>
    <mergeCell ref="N6:P6"/>
    <mergeCell ref="Q6:Q7"/>
    <mergeCell ref="X5:Y5"/>
    <mergeCell ref="X6:X7"/>
    <mergeCell ref="Y6:Y7"/>
    <mergeCell ref="A1:AB1"/>
    <mergeCell ref="A2:AB2"/>
    <mergeCell ref="Z4:AB4"/>
    <mergeCell ref="B4:G4"/>
    <mergeCell ref="H4:M4"/>
    <mergeCell ref="N4:S4"/>
    <mergeCell ref="A4:A7"/>
    <mergeCell ref="T4:Y4"/>
    <mergeCell ref="F5:G6"/>
    <mergeCell ref="Z5:AA6"/>
    <mergeCell ref="AB5:AB7"/>
    <mergeCell ref="H6:J6"/>
    <mergeCell ref="T6:V6"/>
    <mergeCell ref="N20:P21"/>
    <mergeCell ref="N23:P23"/>
    <mergeCell ref="B6:D6"/>
    <mergeCell ref="B5:E5"/>
    <mergeCell ref="E6:E7"/>
    <mergeCell ref="N18:P19"/>
  </mergeCells>
  <printOptions horizontalCentered="1"/>
  <pageMargins left="0" right="0" top="0.39370078740157483" bottom="0" header="0.31496062992125984" footer="0.19685039370078741"/>
  <pageSetup paperSize="9" scale="85" orientation="landscape" r:id="rId1"/>
  <headerFooter alignWithMargins="0">
    <oddFooter>&amp;C&amp;8&amp;Z&amp;F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9"/>
  <sheetViews>
    <sheetView zoomScale="90" zoomScaleNormal="90" workbookViewId="0">
      <selection activeCell="J13" sqref="J13"/>
    </sheetView>
  </sheetViews>
  <sheetFormatPr defaultRowHeight="27.75" customHeight="1"/>
  <cols>
    <col min="1" max="1" width="25.28515625" style="54" customWidth="1"/>
    <col min="2" max="6" width="9.28515625" style="54" customWidth="1"/>
    <col min="7" max="7" width="11.42578125" style="54" customWidth="1"/>
    <col min="8" max="9" width="10.28515625" style="54" customWidth="1"/>
    <col min="10" max="10" width="9.5703125" style="54" customWidth="1"/>
    <col min="11" max="12" width="9.140625" style="54"/>
    <col min="13" max="13" width="14.85546875" style="54" customWidth="1"/>
    <col min="14" max="14" width="9" style="54" customWidth="1"/>
    <col min="15" max="15" width="7.7109375" style="54" customWidth="1"/>
    <col min="16" max="16384" width="9.140625" style="54"/>
  </cols>
  <sheetData>
    <row r="1" spans="1:15" ht="30.75" customHeight="1">
      <c r="A1" s="551" t="str">
        <f>'(PD-RD3)_สร้างความยั่งยืนฯ'!A1:L1</f>
        <v>รายละเอียดแผนการปฏิบัติงานและความก้าวหน้าผลการปฏิบัติงาน ณ วันที่  31  มกราคม 2559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1:15" ht="22.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5" s="59" customFormat="1" ht="24.75" customHeight="1">
      <c r="A3" s="376" t="s">
        <v>129</v>
      </c>
      <c r="M3" s="78"/>
    </row>
    <row r="4" spans="1:15" s="106" customFormat="1" ht="26.25" customHeight="1">
      <c r="A4" s="583" t="s">
        <v>14</v>
      </c>
      <c r="B4" s="586" t="s">
        <v>33</v>
      </c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8"/>
    </row>
    <row r="5" spans="1:15" s="106" customFormat="1" ht="23.25" customHeight="1">
      <c r="A5" s="584"/>
      <c r="B5" s="556" t="s">
        <v>17</v>
      </c>
      <c r="C5" s="556"/>
      <c r="D5" s="556"/>
      <c r="E5" s="556"/>
      <c r="F5" s="556"/>
      <c r="G5" s="556"/>
      <c r="H5" s="652" t="s">
        <v>19</v>
      </c>
      <c r="I5" s="652"/>
      <c r="J5" s="652"/>
      <c r="K5" s="652"/>
      <c r="L5" s="652"/>
      <c r="M5" s="652"/>
      <c r="N5" s="652"/>
      <c r="O5" s="652"/>
    </row>
    <row r="6" spans="1:15" s="106" customFormat="1" ht="23.25" customHeight="1">
      <c r="A6" s="584"/>
      <c r="B6" s="556" t="s">
        <v>1</v>
      </c>
      <c r="C6" s="556"/>
      <c r="D6" s="556"/>
      <c r="E6" s="556"/>
      <c r="F6" s="556"/>
      <c r="G6" s="650" t="s">
        <v>24</v>
      </c>
      <c r="H6" s="570" t="s">
        <v>23</v>
      </c>
      <c r="I6" s="570" t="s">
        <v>22</v>
      </c>
      <c r="J6" s="651" t="s">
        <v>50</v>
      </c>
      <c r="K6" s="651"/>
      <c r="L6" s="651"/>
      <c r="M6" s="651"/>
      <c r="N6" s="651"/>
      <c r="O6" s="651"/>
    </row>
    <row r="7" spans="1:15" s="106" customFormat="1" ht="23.25" customHeight="1">
      <c r="A7" s="585"/>
      <c r="B7" s="229">
        <v>1</v>
      </c>
      <c r="C7" s="229">
        <v>2</v>
      </c>
      <c r="D7" s="229">
        <v>3</v>
      </c>
      <c r="E7" s="229">
        <v>4</v>
      </c>
      <c r="F7" s="229" t="s">
        <v>3</v>
      </c>
      <c r="G7" s="650"/>
      <c r="H7" s="571"/>
      <c r="I7" s="571"/>
      <c r="J7" s="230" t="s">
        <v>18</v>
      </c>
      <c r="K7" s="230" t="s">
        <v>51</v>
      </c>
      <c r="L7" s="230" t="s">
        <v>52</v>
      </c>
      <c r="M7" s="230" t="s">
        <v>53</v>
      </c>
      <c r="N7" s="230" t="s">
        <v>54</v>
      </c>
      <c r="O7" s="231" t="s">
        <v>3</v>
      </c>
    </row>
    <row r="8" spans="1:15" s="59" customFormat="1" ht="23.25" customHeight="1">
      <c r="A8" s="98" t="s">
        <v>7</v>
      </c>
      <c r="B8" s="39">
        <f t="shared" ref="B8:C10" si="0">0+0+1</f>
        <v>1</v>
      </c>
      <c r="C8" s="39">
        <f t="shared" si="0"/>
        <v>1</v>
      </c>
      <c r="D8" s="39">
        <f>1+0+0</f>
        <v>1</v>
      </c>
      <c r="E8" s="39">
        <f>1+0+0</f>
        <v>1</v>
      </c>
      <c r="F8" s="39">
        <f>SUM(B8:E8)</f>
        <v>4</v>
      </c>
      <c r="G8" s="40">
        <f>B8</f>
        <v>1</v>
      </c>
      <c r="H8" s="269">
        <v>1</v>
      </c>
      <c r="I8" s="41">
        <f t="shared" ref="I8:I15" si="1">H8*100/G8</f>
        <v>100</v>
      </c>
      <c r="J8" s="4">
        <v>34</v>
      </c>
      <c r="K8" s="4"/>
      <c r="L8" s="4">
        <v>8</v>
      </c>
      <c r="M8" s="4">
        <v>41</v>
      </c>
      <c r="N8" s="4"/>
      <c r="O8" s="263">
        <f>SUM(J8:N8)</f>
        <v>83</v>
      </c>
    </row>
    <row r="9" spans="1:15" s="59" customFormat="1" ht="23.25" customHeight="1">
      <c r="A9" s="22" t="s">
        <v>8</v>
      </c>
      <c r="B9" s="7">
        <f t="shared" si="0"/>
        <v>1</v>
      </c>
      <c r="C9" s="7">
        <f t="shared" si="0"/>
        <v>1</v>
      </c>
      <c r="D9" s="7">
        <f>0+0+1</f>
        <v>1</v>
      </c>
      <c r="E9" s="7">
        <f>0+0+1</f>
        <v>1</v>
      </c>
      <c r="F9" s="7">
        <f>SUM(B9:E9)</f>
        <v>4</v>
      </c>
      <c r="G9" s="13">
        <f>B9</f>
        <v>1</v>
      </c>
      <c r="H9" s="27">
        <v>1</v>
      </c>
      <c r="I9" s="31">
        <f t="shared" si="1"/>
        <v>100</v>
      </c>
      <c r="J9" s="5">
        <v>70</v>
      </c>
      <c r="K9" s="5"/>
      <c r="L9" s="5"/>
      <c r="M9" s="5"/>
      <c r="N9" s="5"/>
      <c r="O9" s="264">
        <f>SUM(J9:N9)</f>
        <v>70</v>
      </c>
    </row>
    <row r="10" spans="1:15" s="59" customFormat="1" ht="23.25" customHeight="1">
      <c r="A10" s="22" t="s">
        <v>9</v>
      </c>
      <c r="B10" s="7">
        <f t="shared" si="0"/>
        <v>1</v>
      </c>
      <c r="C10" s="7">
        <f t="shared" si="0"/>
        <v>1</v>
      </c>
      <c r="D10" s="7">
        <f>0+0+1</f>
        <v>1</v>
      </c>
      <c r="E10" s="7">
        <f>0+1+0</f>
        <v>1</v>
      </c>
      <c r="F10" s="7">
        <f t="shared" ref="F10:F14" si="2">SUM(B10:E10)</f>
        <v>4</v>
      </c>
      <c r="G10" s="13">
        <f t="shared" ref="G10:G14" si="3">B10</f>
        <v>1</v>
      </c>
      <c r="H10" s="27">
        <v>1</v>
      </c>
      <c r="I10" s="31">
        <f t="shared" si="1"/>
        <v>100</v>
      </c>
      <c r="J10" s="5">
        <v>49</v>
      </c>
      <c r="K10" s="5"/>
      <c r="L10" s="5">
        <v>95</v>
      </c>
      <c r="M10" s="5"/>
      <c r="N10" s="5"/>
      <c r="O10" s="264">
        <f t="shared" ref="O10:O14" si="4">SUM(J10:N10)</f>
        <v>144</v>
      </c>
    </row>
    <row r="11" spans="1:15" s="99" customFormat="1" ht="23.25" customHeight="1">
      <c r="A11" s="22" t="s">
        <v>10</v>
      </c>
      <c r="B11" s="7">
        <f>0+0+1</f>
        <v>1</v>
      </c>
      <c r="C11" s="7">
        <f>0+1+0</f>
        <v>1</v>
      </c>
      <c r="D11" s="7">
        <f>0+1+0</f>
        <v>1</v>
      </c>
      <c r="E11" s="7">
        <f>0+1+0</f>
        <v>1</v>
      </c>
      <c r="F11" s="7">
        <f t="shared" si="2"/>
        <v>4</v>
      </c>
      <c r="G11" s="13">
        <f t="shared" si="3"/>
        <v>1</v>
      </c>
      <c r="H11" s="27">
        <v>1</v>
      </c>
      <c r="I11" s="31">
        <f t="shared" si="1"/>
        <v>100</v>
      </c>
      <c r="J11" s="5">
        <v>35</v>
      </c>
      <c r="K11" s="5"/>
      <c r="L11" s="5">
        <v>18</v>
      </c>
      <c r="M11" s="5">
        <v>17</v>
      </c>
      <c r="N11" s="42"/>
      <c r="O11" s="264">
        <f t="shared" si="4"/>
        <v>70</v>
      </c>
    </row>
    <row r="12" spans="1:15" s="59" customFormat="1" ht="23.25" customHeight="1">
      <c r="A12" s="22" t="s">
        <v>11</v>
      </c>
      <c r="B12" s="7">
        <f>0+0+1</f>
        <v>1</v>
      </c>
      <c r="C12" s="7">
        <f>0+0+1</f>
        <v>1</v>
      </c>
      <c r="D12" s="7">
        <f>0+1+0</f>
        <v>1</v>
      </c>
      <c r="E12" s="7">
        <f>0+1+0</f>
        <v>1</v>
      </c>
      <c r="F12" s="7">
        <f t="shared" si="2"/>
        <v>4</v>
      </c>
      <c r="G12" s="13">
        <f t="shared" si="3"/>
        <v>1</v>
      </c>
      <c r="H12" s="45">
        <v>1</v>
      </c>
      <c r="I12" s="31">
        <f t="shared" si="1"/>
        <v>100</v>
      </c>
      <c r="J12" s="5">
        <v>60</v>
      </c>
      <c r="K12" s="5"/>
      <c r="L12" s="5"/>
      <c r="M12" s="5">
        <v>13</v>
      </c>
      <c r="N12" s="5"/>
      <c r="O12" s="264">
        <f t="shared" si="4"/>
        <v>73</v>
      </c>
    </row>
    <row r="13" spans="1:15" s="99" customFormat="1" ht="23.25" customHeight="1">
      <c r="A13" s="22" t="s">
        <v>12</v>
      </c>
      <c r="B13" s="7">
        <f>0+0+1</f>
        <v>1</v>
      </c>
      <c r="C13" s="7">
        <f>0+0+1</f>
        <v>1</v>
      </c>
      <c r="D13" s="7">
        <f>0+0+1</f>
        <v>1</v>
      </c>
      <c r="E13" s="7">
        <f>0+1+0</f>
        <v>1</v>
      </c>
      <c r="F13" s="7">
        <f t="shared" si="2"/>
        <v>4</v>
      </c>
      <c r="G13" s="13">
        <f t="shared" si="3"/>
        <v>1</v>
      </c>
      <c r="H13" s="45">
        <v>1</v>
      </c>
      <c r="I13" s="31">
        <f t="shared" si="1"/>
        <v>100</v>
      </c>
      <c r="J13" s="5">
        <v>5</v>
      </c>
      <c r="K13" s="42"/>
      <c r="L13" s="42"/>
      <c r="M13" s="5"/>
      <c r="N13" s="42"/>
      <c r="O13" s="264">
        <f t="shared" si="4"/>
        <v>5</v>
      </c>
    </row>
    <row r="14" spans="1:15" s="59" customFormat="1" ht="23.25" customHeight="1">
      <c r="A14" s="100" t="s">
        <v>13</v>
      </c>
      <c r="B14" s="8">
        <f>0+0+1</f>
        <v>1</v>
      </c>
      <c r="C14" s="8">
        <f>0+0+1</f>
        <v>1</v>
      </c>
      <c r="D14" s="8">
        <f>0+1+0</f>
        <v>1</v>
      </c>
      <c r="E14" s="8">
        <f>0+1+0</f>
        <v>1</v>
      </c>
      <c r="F14" s="8">
        <f t="shared" si="2"/>
        <v>4</v>
      </c>
      <c r="G14" s="15">
        <f t="shared" si="3"/>
        <v>1</v>
      </c>
      <c r="H14" s="46">
        <v>1</v>
      </c>
      <c r="I14" s="531">
        <f t="shared" si="1"/>
        <v>100</v>
      </c>
      <c r="J14" s="26">
        <v>25</v>
      </c>
      <c r="K14" s="26"/>
      <c r="L14" s="26"/>
      <c r="M14" s="26"/>
      <c r="N14" s="26"/>
      <c r="O14" s="264">
        <f t="shared" si="4"/>
        <v>25</v>
      </c>
    </row>
    <row r="15" spans="1:15" s="59" customFormat="1" ht="23.25" customHeight="1">
      <c r="A15" s="74" t="s">
        <v>6</v>
      </c>
      <c r="B15" s="29">
        <f t="shared" ref="B15:F15" si="5">SUM(B8:B14)</f>
        <v>7</v>
      </c>
      <c r="C15" s="29">
        <f t="shared" si="5"/>
        <v>7</v>
      </c>
      <c r="D15" s="29">
        <f t="shared" si="5"/>
        <v>7</v>
      </c>
      <c r="E15" s="29">
        <f t="shared" si="5"/>
        <v>7</v>
      </c>
      <c r="F15" s="29">
        <f t="shared" si="5"/>
        <v>28</v>
      </c>
      <c r="G15" s="30">
        <f>SUM(G8:G14)</f>
        <v>7</v>
      </c>
      <c r="H15" s="76">
        <f>SUM(H8:H14)</f>
        <v>7</v>
      </c>
      <c r="I15" s="77">
        <f t="shared" si="1"/>
        <v>100</v>
      </c>
      <c r="J15" s="261">
        <f>SUM(J8:J14)</f>
        <v>278</v>
      </c>
      <c r="K15" s="25">
        <f t="shared" ref="K15:N15" si="6">SUM(K8:K14)</f>
        <v>0</v>
      </c>
      <c r="L15" s="25">
        <f t="shared" si="6"/>
        <v>121</v>
      </c>
      <c r="M15" s="25">
        <f t="shared" si="6"/>
        <v>71</v>
      </c>
      <c r="N15" s="25">
        <f t="shared" si="6"/>
        <v>0</v>
      </c>
      <c r="O15" s="262">
        <f>SUM(O8:O14)</f>
        <v>470</v>
      </c>
    </row>
    <row r="16" spans="1:15" ht="23.25" customHeight="1">
      <c r="A16" s="80"/>
    </row>
    <row r="17" spans="1:35" s="136" customFormat="1" ht="23.25" customHeight="1" thickBot="1">
      <c r="A17" s="235"/>
      <c r="B17" s="236"/>
    </row>
    <row r="18" spans="1:35" ht="22.5" customHeight="1">
      <c r="A18" s="58"/>
      <c r="B18" s="377" t="s">
        <v>45</v>
      </c>
      <c r="C18" s="378"/>
      <c r="D18" s="378"/>
      <c r="E18" s="379"/>
      <c r="F18" s="379"/>
      <c r="G18" s="379"/>
      <c r="H18" s="379"/>
      <c r="I18" s="379"/>
      <c r="J18" s="379"/>
      <c r="K18" s="379"/>
      <c r="L18" s="380"/>
      <c r="M18" s="75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</row>
    <row r="19" spans="1:35" ht="22.5" customHeight="1">
      <c r="B19" s="337" t="s">
        <v>14</v>
      </c>
      <c r="C19" s="285" t="s">
        <v>130</v>
      </c>
      <c r="D19" s="285"/>
      <c r="E19" s="285"/>
      <c r="F19" s="285"/>
      <c r="G19" s="285"/>
      <c r="H19" s="285"/>
      <c r="I19" s="285"/>
      <c r="J19" s="285"/>
      <c r="K19" s="285"/>
      <c r="L19" s="334"/>
      <c r="M19" s="75"/>
      <c r="N19" s="52"/>
      <c r="O19" s="52"/>
      <c r="P19" s="52"/>
      <c r="Q19" s="60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</row>
    <row r="20" spans="1:35" ht="22.5" customHeight="1">
      <c r="B20" s="332"/>
      <c r="C20" s="285" t="s">
        <v>131</v>
      </c>
      <c r="D20" s="285"/>
      <c r="E20" s="285"/>
      <c r="F20" s="285"/>
      <c r="G20" s="285"/>
      <c r="H20" s="285"/>
      <c r="I20" s="285"/>
      <c r="J20" s="285"/>
      <c r="K20" s="285" t="s">
        <v>46</v>
      </c>
      <c r="L20" s="334"/>
      <c r="M20" s="75"/>
      <c r="N20" s="52"/>
      <c r="O20" s="52"/>
      <c r="P20" s="52"/>
      <c r="Q20" s="60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</row>
    <row r="21" spans="1:35" ht="22.5" customHeight="1">
      <c r="B21" s="332"/>
      <c r="C21" s="285" t="s">
        <v>132</v>
      </c>
      <c r="D21" s="285"/>
      <c r="E21" s="285"/>
      <c r="F21" s="285"/>
      <c r="G21" s="285"/>
      <c r="H21" s="285"/>
      <c r="I21" s="285"/>
      <c r="J21" s="285"/>
      <c r="K21" s="285"/>
      <c r="L21" s="334"/>
      <c r="M21" s="75"/>
      <c r="N21" s="52"/>
      <c r="O21" s="52"/>
      <c r="P21" s="52"/>
      <c r="Q21" s="60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</row>
    <row r="22" spans="1:35" ht="22.5" customHeight="1">
      <c r="B22" s="332"/>
      <c r="C22" s="285" t="s">
        <v>133</v>
      </c>
      <c r="D22" s="285"/>
      <c r="E22" s="285"/>
      <c r="F22" s="285"/>
      <c r="G22" s="285"/>
      <c r="H22" s="285"/>
      <c r="I22" s="285"/>
      <c r="J22" s="285"/>
      <c r="K22" s="285" t="s">
        <v>134</v>
      </c>
      <c r="L22" s="334"/>
      <c r="M22" s="75"/>
      <c r="N22" s="52"/>
      <c r="O22" s="52"/>
      <c r="P22" s="52"/>
      <c r="Q22" s="60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</row>
    <row r="23" spans="1:35" ht="12.75" customHeight="1" thickBot="1">
      <c r="B23" s="332"/>
      <c r="C23" s="285"/>
      <c r="D23" s="285"/>
      <c r="E23" s="285"/>
      <c r="F23" s="285"/>
      <c r="G23" s="285"/>
      <c r="H23" s="285"/>
      <c r="I23" s="285"/>
      <c r="J23" s="285"/>
      <c r="K23" s="328"/>
      <c r="L23" s="335"/>
      <c r="M23" s="75"/>
      <c r="N23" s="52"/>
      <c r="O23" s="52"/>
      <c r="P23" s="52"/>
      <c r="Q23" s="60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</row>
    <row r="24" spans="1:35" ht="29.25" customHeight="1">
      <c r="B24" s="49"/>
      <c r="C24" s="49"/>
      <c r="D24" s="49"/>
      <c r="E24" s="50"/>
      <c r="F24" s="50"/>
      <c r="G24" s="50"/>
      <c r="H24" s="50"/>
      <c r="I24" s="50"/>
      <c r="J24" s="50"/>
      <c r="K24" s="52"/>
      <c r="L24" s="52"/>
      <c r="M24" s="52"/>
      <c r="N24" s="52"/>
      <c r="O24" s="52"/>
      <c r="P24" s="60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1:35" ht="29.25" customHeight="1">
      <c r="B25" s="51"/>
      <c r="C25" s="51"/>
      <c r="D25" s="51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60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</row>
    <row r="26" spans="1:35" ht="29.25" customHeight="1">
      <c r="B26" s="51"/>
      <c r="C26" s="51"/>
      <c r="D26" s="51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60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</row>
    <row r="27" spans="1:35" ht="29.25" customHeight="1">
      <c r="B27" s="51"/>
      <c r="C27" s="51"/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60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</row>
    <row r="28" spans="1:35" ht="29.25" customHeight="1">
      <c r="B28" s="51"/>
      <c r="C28" s="51"/>
      <c r="D28" s="51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60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</row>
    <row r="29" spans="1:35" ht="29.25" customHeight="1">
      <c r="B29" s="51"/>
      <c r="C29" s="51"/>
      <c r="D29" s="5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0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</row>
    <row r="30" spans="1:35" ht="29.25" customHeight="1">
      <c r="B30" s="12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48"/>
      <c r="N30" s="48"/>
      <c r="O30" s="48"/>
      <c r="P30" s="48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</row>
    <row r="31" spans="1:35" ht="29.2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48"/>
      <c r="N31" s="48"/>
      <c r="O31" s="48"/>
      <c r="P31" s="48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</row>
    <row r="32" spans="1:35" s="59" customFormat="1" ht="20.100000000000001" customHeight="1">
      <c r="A32" s="112"/>
      <c r="B32" s="63"/>
      <c r="C32" s="113"/>
      <c r="D32" s="113"/>
      <c r="E32" s="81"/>
      <c r="F32" s="81"/>
      <c r="G32" s="63"/>
      <c r="H32" s="81"/>
      <c r="I32" s="81"/>
    </row>
    <row r="33" spans="1:11" s="59" customFormat="1" ht="20.100000000000001" customHeight="1">
      <c r="A33" s="81"/>
      <c r="B33" s="63"/>
      <c r="C33" s="81"/>
      <c r="D33" s="81"/>
      <c r="E33" s="81"/>
      <c r="F33" s="81" t="s">
        <v>26</v>
      </c>
      <c r="G33" s="64"/>
      <c r="H33" s="81"/>
      <c r="I33" s="81"/>
    </row>
    <row r="34" spans="1:11" s="59" customFormat="1" ht="20.100000000000001" customHeight="1">
      <c r="A34" s="81"/>
      <c r="B34" s="63"/>
      <c r="C34" s="81"/>
      <c r="D34" s="81"/>
      <c r="E34" s="81"/>
      <c r="F34" s="81"/>
      <c r="G34" s="64"/>
      <c r="H34" s="81"/>
      <c r="I34" s="81"/>
    </row>
    <row r="35" spans="1:11" s="59" customFormat="1" ht="20.100000000000001" customHeight="1">
      <c r="A35" s="112"/>
      <c r="B35" s="63"/>
      <c r="C35" s="81"/>
      <c r="D35" s="81"/>
      <c r="E35" s="81"/>
      <c r="F35" s="81"/>
      <c r="G35" s="81"/>
      <c r="H35" s="81"/>
      <c r="I35" s="81"/>
    </row>
    <row r="36" spans="1:11" s="59" customFormat="1" ht="20.100000000000001" customHeight="1">
      <c r="A36" s="81"/>
      <c r="B36" s="114"/>
      <c r="C36" s="81"/>
      <c r="D36" s="81"/>
      <c r="E36" s="81"/>
      <c r="F36" s="81"/>
      <c r="G36" s="81"/>
      <c r="H36" s="81"/>
      <c r="I36" s="81"/>
      <c r="J36" s="54"/>
      <c r="K36" s="54"/>
    </row>
    <row r="37" spans="1:11" ht="20.100000000000001" customHeight="1">
      <c r="A37" s="81"/>
      <c r="B37" s="63"/>
      <c r="C37" s="81"/>
      <c r="D37" s="81"/>
      <c r="E37" s="81"/>
      <c r="F37" s="81"/>
      <c r="G37" s="81"/>
      <c r="H37" s="81"/>
      <c r="I37" s="81"/>
    </row>
    <row r="38" spans="1:11" ht="20.100000000000001" customHeight="1">
      <c r="A38" s="81"/>
      <c r="B38" s="63"/>
      <c r="C38" s="81"/>
      <c r="D38" s="81"/>
      <c r="E38" s="81"/>
      <c r="F38" s="81"/>
      <c r="G38" s="81"/>
      <c r="H38" s="81"/>
      <c r="I38" s="81"/>
    </row>
    <row r="39" spans="1:11" ht="20.100000000000001" customHeight="1">
      <c r="A39" s="81"/>
      <c r="B39" s="81"/>
      <c r="C39" s="81"/>
      <c r="D39" s="81"/>
      <c r="E39" s="81"/>
      <c r="F39" s="81"/>
      <c r="G39" s="81"/>
      <c r="H39" s="81"/>
      <c r="I39" s="81"/>
    </row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5.5" customHeight="1"/>
    <row r="45" spans="1:11" ht="25.5" customHeight="1"/>
    <row r="46" spans="1:11" ht="25.5" customHeight="1"/>
    <row r="47" spans="1:11" ht="25.5" customHeight="1"/>
    <row r="48" spans="1:11" ht="18" customHeight="1"/>
    <row r="49" ht="18" customHeight="1"/>
  </sheetData>
  <mergeCells count="11">
    <mergeCell ref="A1:O1"/>
    <mergeCell ref="A2:O2"/>
    <mergeCell ref="A4:A7"/>
    <mergeCell ref="B5:G5"/>
    <mergeCell ref="B6:F6"/>
    <mergeCell ref="G6:G7"/>
    <mergeCell ref="J6:O6"/>
    <mergeCell ref="H5:O5"/>
    <mergeCell ref="B4:O4"/>
    <mergeCell ref="H6:H7"/>
    <mergeCell ref="I6:I7"/>
  </mergeCells>
  <printOptions horizontalCentered="1"/>
  <pageMargins left="0.12" right="0" top="0.39370078740157483" bottom="0" header="0.31496062992125984" footer="0.19685039370078741"/>
  <pageSetup paperSize="9" scale="90" orientation="landscape" r:id="rId1"/>
  <headerFooter alignWithMargins="0">
    <oddFooter>&amp;C&amp;8&amp;Z&amp;F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S84"/>
  <sheetViews>
    <sheetView zoomScale="90" zoomScaleNormal="90" workbookViewId="0">
      <pane xSplit="1" ySplit="2" topLeftCell="M24" activePane="bottomRight" state="frozen"/>
      <selection pane="topRight" activeCell="B1" sqref="B1"/>
      <selection pane="bottomLeft" activeCell="A3" sqref="A3"/>
      <selection pane="bottomRight" activeCell="Y37" sqref="Y37:Z37"/>
    </sheetView>
  </sheetViews>
  <sheetFormatPr defaultRowHeight="27.75" customHeight="1"/>
  <cols>
    <col min="1" max="1" width="10.28515625" style="54" customWidth="1"/>
    <col min="2" max="2" width="7.42578125" style="54" customWidth="1"/>
    <col min="3" max="3" width="7.85546875" style="54" customWidth="1"/>
    <col min="4" max="4" width="6.7109375" style="54" customWidth="1"/>
    <col min="5" max="6" width="6.140625" style="54" customWidth="1"/>
    <col min="7" max="7" width="7.28515625" style="54" customWidth="1"/>
    <col min="8" max="8" width="7.85546875" style="54" customWidth="1"/>
    <col min="9" max="9" width="5.85546875" style="54" customWidth="1"/>
    <col min="10" max="10" width="6.5703125" style="54" customWidth="1"/>
    <col min="11" max="11" width="8.140625" style="54" customWidth="1"/>
    <col min="12" max="12" width="6.85546875" style="54" customWidth="1"/>
    <col min="13" max="13" width="5.7109375" style="54" customWidth="1"/>
    <col min="14" max="14" width="6.28515625" style="54" customWidth="1"/>
    <col min="15" max="15" width="7.7109375" style="54" customWidth="1"/>
    <col min="16" max="16" width="8.5703125" style="54" customWidth="1"/>
    <col min="17" max="17" width="5.28515625" style="54" customWidth="1"/>
    <col min="18" max="18" width="6.140625" style="54" customWidth="1"/>
    <col min="19" max="19" width="8.140625" style="54" customWidth="1"/>
    <col min="20" max="22" width="7.42578125" style="54" customWidth="1"/>
    <col min="23" max="25" width="6.7109375" style="54" customWidth="1"/>
    <col min="26" max="26" width="7.42578125" style="54" customWidth="1"/>
    <col min="27" max="27" width="4.7109375" style="54" customWidth="1"/>
    <col min="28" max="28" width="6.140625" style="54" customWidth="1"/>
    <col min="29" max="32" width="7" style="54" customWidth="1"/>
    <col min="33" max="33" width="5.5703125" style="54" customWidth="1"/>
    <col min="34" max="34" width="6.140625" style="54" customWidth="1"/>
    <col min="35" max="36" width="7" style="54" customWidth="1"/>
    <col min="37" max="37" width="7.7109375" style="54" customWidth="1"/>
    <col min="38" max="39" width="6.140625" style="54" customWidth="1"/>
    <col min="40" max="40" width="11" style="135" hidden="1" customWidth="1"/>
    <col min="41" max="41" width="6.42578125" style="135" hidden="1" customWidth="1"/>
    <col min="42" max="42" width="6.28515625" style="135" hidden="1" customWidth="1"/>
    <col min="43" max="43" width="6.28515625" style="54" hidden="1" customWidth="1"/>
    <col min="44" max="45" width="6.7109375" style="54" customWidth="1"/>
    <col min="46" max="16384" width="9.140625" style="54"/>
  </cols>
  <sheetData>
    <row r="1" spans="1:45" ht="21" customHeight="1">
      <c r="A1" s="551" t="str">
        <f>'(PD-RD5)_คลินิกเกษตร'!A1:O1</f>
        <v>รายละเอียดแผนการปฏิบัติงานและความก้าวหน้าผลการปฏิบัติงาน ณ วันที่  31  มกราคม 2559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96"/>
      <c r="AO1" s="96"/>
      <c r="AP1" s="96"/>
      <c r="AQ1" s="96"/>
      <c r="AR1" s="93"/>
      <c r="AS1" s="93"/>
    </row>
    <row r="2" spans="1:45" ht="22.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96"/>
      <c r="AO2" s="96"/>
      <c r="AP2" s="96"/>
      <c r="AQ2" s="96"/>
      <c r="AR2" s="93"/>
      <c r="AS2" s="93"/>
    </row>
    <row r="3" spans="1:45" s="59" customFormat="1" ht="20.25" customHeight="1">
      <c r="A3" s="376" t="s">
        <v>135</v>
      </c>
      <c r="B3" s="80"/>
      <c r="AN3" s="93"/>
      <c r="AO3" s="93"/>
      <c r="AP3" s="216"/>
    </row>
    <row r="4" spans="1:45" s="59" customFormat="1" ht="51.75" customHeight="1">
      <c r="A4" s="583" t="s">
        <v>14</v>
      </c>
      <c r="B4" s="670" t="s">
        <v>87</v>
      </c>
      <c r="C4" s="658" t="s">
        <v>136</v>
      </c>
      <c r="D4" s="659"/>
      <c r="E4" s="659"/>
      <c r="F4" s="660"/>
      <c r="G4" s="658" t="s">
        <v>139</v>
      </c>
      <c r="H4" s="659"/>
      <c r="I4" s="659"/>
      <c r="J4" s="660"/>
      <c r="K4" s="586" t="s">
        <v>141</v>
      </c>
      <c r="L4" s="587"/>
      <c r="M4" s="587"/>
      <c r="N4" s="587"/>
      <c r="O4" s="587"/>
      <c r="P4" s="587"/>
      <c r="Q4" s="587"/>
      <c r="R4" s="588"/>
      <c r="S4" s="586" t="s">
        <v>145</v>
      </c>
      <c r="T4" s="587"/>
      <c r="U4" s="587"/>
      <c r="V4" s="588"/>
      <c r="W4" s="586" t="s">
        <v>146</v>
      </c>
      <c r="X4" s="587"/>
      <c r="Y4" s="587"/>
      <c r="Z4" s="587"/>
      <c r="AA4" s="587"/>
      <c r="AB4" s="587"/>
      <c r="AC4" s="587"/>
      <c r="AD4" s="587"/>
      <c r="AE4" s="587"/>
      <c r="AF4" s="587"/>
      <c r="AG4" s="587"/>
      <c r="AH4" s="588"/>
      <c r="AI4" s="658" t="s">
        <v>147</v>
      </c>
      <c r="AJ4" s="659"/>
      <c r="AK4" s="659"/>
      <c r="AL4" s="659"/>
      <c r="AM4" s="660"/>
      <c r="AN4" s="600" t="s">
        <v>67</v>
      </c>
      <c r="AO4" s="655"/>
      <c r="AP4" s="655"/>
      <c r="AQ4" s="601"/>
      <c r="AR4" s="128"/>
      <c r="AS4" s="128"/>
    </row>
    <row r="5" spans="1:45" s="59" customFormat="1" ht="51.75" customHeight="1">
      <c r="A5" s="584"/>
      <c r="B5" s="671"/>
      <c r="C5" s="661"/>
      <c r="D5" s="662"/>
      <c r="E5" s="662"/>
      <c r="F5" s="663"/>
      <c r="G5" s="661"/>
      <c r="H5" s="662"/>
      <c r="I5" s="662"/>
      <c r="J5" s="663"/>
      <c r="K5" s="586" t="s">
        <v>142</v>
      </c>
      <c r="L5" s="587"/>
      <c r="M5" s="587"/>
      <c r="N5" s="588"/>
      <c r="O5" s="586" t="s">
        <v>144</v>
      </c>
      <c r="P5" s="587"/>
      <c r="Q5" s="587"/>
      <c r="R5" s="588"/>
      <c r="S5" s="586" t="s">
        <v>142</v>
      </c>
      <c r="T5" s="587"/>
      <c r="U5" s="587"/>
      <c r="V5" s="588"/>
      <c r="W5" s="586" t="s">
        <v>142</v>
      </c>
      <c r="X5" s="587"/>
      <c r="Y5" s="587"/>
      <c r="Z5" s="587"/>
      <c r="AA5" s="587"/>
      <c r="AB5" s="588"/>
      <c r="AC5" s="586" t="s">
        <v>143</v>
      </c>
      <c r="AD5" s="587"/>
      <c r="AE5" s="587"/>
      <c r="AF5" s="587"/>
      <c r="AG5" s="587"/>
      <c r="AH5" s="588"/>
      <c r="AI5" s="661"/>
      <c r="AJ5" s="662"/>
      <c r="AK5" s="662"/>
      <c r="AL5" s="662"/>
      <c r="AM5" s="663"/>
      <c r="AN5" s="602"/>
      <c r="AO5" s="656"/>
      <c r="AP5" s="656"/>
      <c r="AQ5" s="603"/>
      <c r="AR5" s="275"/>
      <c r="AS5" s="275"/>
    </row>
    <row r="6" spans="1:45" s="59" customFormat="1" ht="33" customHeight="1">
      <c r="A6" s="584"/>
      <c r="B6" s="671"/>
      <c r="C6" s="664" t="s">
        <v>25</v>
      </c>
      <c r="D6" s="666"/>
      <c r="E6" s="667" t="s">
        <v>19</v>
      </c>
      <c r="F6" s="598"/>
      <c r="G6" s="664" t="s">
        <v>25</v>
      </c>
      <c r="H6" s="666"/>
      <c r="I6" s="667" t="s">
        <v>19</v>
      </c>
      <c r="J6" s="598"/>
      <c r="K6" s="664" t="s">
        <v>25</v>
      </c>
      <c r="L6" s="666"/>
      <c r="M6" s="667" t="s">
        <v>19</v>
      </c>
      <c r="N6" s="598"/>
      <c r="O6" s="664" t="s">
        <v>25</v>
      </c>
      <c r="P6" s="666"/>
      <c r="Q6" s="667" t="s">
        <v>19</v>
      </c>
      <c r="R6" s="598"/>
      <c r="S6" s="664" t="s">
        <v>25</v>
      </c>
      <c r="T6" s="666"/>
      <c r="U6" s="667" t="s">
        <v>19</v>
      </c>
      <c r="V6" s="598"/>
      <c r="W6" s="664" t="s">
        <v>25</v>
      </c>
      <c r="X6" s="665"/>
      <c r="Y6" s="665"/>
      <c r="Z6" s="666"/>
      <c r="AA6" s="667" t="s">
        <v>19</v>
      </c>
      <c r="AB6" s="598"/>
      <c r="AC6" s="664" t="s">
        <v>25</v>
      </c>
      <c r="AD6" s="665"/>
      <c r="AE6" s="665"/>
      <c r="AF6" s="666"/>
      <c r="AG6" s="667" t="s">
        <v>19</v>
      </c>
      <c r="AH6" s="598"/>
      <c r="AI6" s="664" t="s">
        <v>25</v>
      </c>
      <c r="AJ6" s="665"/>
      <c r="AK6" s="666"/>
      <c r="AL6" s="667" t="s">
        <v>19</v>
      </c>
      <c r="AM6" s="598"/>
      <c r="AN6" s="604" t="s">
        <v>31</v>
      </c>
      <c r="AO6" s="605"/>
      <c r="AP6" s="606"/>
      <c r="AQ6" s="657" t="s">
        <v>4</v>
      </c>
      <c r="AR6" s="128"/>
      <c r="AS6" s="128"/>
    </row>
    <row r="7" spans="1:45" s="59" customFormat="1" ht="20.25" customHeight="1">
      <c r="A7" s="584"/>
      <c r="B7" s="671"/>
      <c r="C7" s="599" t="s">
        <v>70</v>
      </c>
      <c r="D7" s="599" t="s">
        <v>24</v>
      </c>
      <c r="E7" s="570" t="s">
        <v>3</v>
      </c>
      <c r="F7" s="593" t="s">
        <v>22</v>
      </c>
      <c r="G7" s="599" t="s">
        <v>70</v>
      </c>
      <c r="H7" s="599" t="s">
        <v>24</v>
      </c>
      <c r="I7" s="570" t="s">
        <v>3</v>
      </c>
      <c r="J7" s="593" t="s">
        <v>22</v>
      </c>
      <c r="K7" s="599" t="s">
        <v>88</v>
      </c>
      <c r="L7" s="599" t="s">
        <v>24</v>
      </c>
      <c r="M7" s="570" t="s">
        <v>3</v>
      </c>
      <c r="N7" s="593" t="s">
        <v>22</v>
      </c>
      <c r="O7" s="599" t="s">
        <v>88</v>
      </c>
      <c r="P7" s="599" t="s">
        <v>24</v>
      </c>
      <c r="Q7" s="570" t="s">
        <v>3</v>
      </c>
      <c r="R7" s="593" t="s">
        <v>22</v>
      </c>
      <c r="S7" s="599" t="s">
        <v>88</v>
      </c>
      <c r="T7" s="599" t="s">
        <v>24</v>
      </c>
      <c r="U7" s="570" t="s">
        <v>3</v>
      </c>
      <c r="V7" s="593" t="s">
        <v>22</v>
      </c>
      <c r="W7" s="649" t="s">
        <v>88</v>
      </c>
      <c r="X7" s="649" t="s">
        <v>86</v>
      </c>
      <c r="Y7" s="649" t="s">
        <v>3</v>
      </c>
      <c r="Z7" s="599" t="s">
        <v>24</v>
      </c>
      <c r="AA7" s="570" t="s">
        <v>3</v>
      </c>
      <c r="AB7" s="593" t="s">
        <v>22</v>
      </c>
      <c r="AC7" s="649" t="s">
        <v>88</v>
      </c>
      <c r="AD7" s="649" t="s">
        <v>86</v>
      </c>
      <c r="AE7" s="649" t="s">
        <v>3</v>
      </c>
      <c r="AF7" s="599" t="s">
        <v>24</v>
      </c>
      <c r="AG7" s="570" t="s">
        <v>3</v>
      </c>
      <c r="AH7" s="593" t="s">
        <v>22</v>
      </c>
      <c r="AI7" s="649" t="s">
        <v>88</v>
      </c>
      <c r="AJ7" s="649" t="s">
        <v>86</v>
      </c>
      <c r="AK7" s="599" t="s">
        <v>24</v>
      </c>
      <c r="AL7" s="570" t="s">
        <v>3</v>
      </c>
      <c r="AM7" s="593" t="s">
        <v>22</v>
      </c>
      <c r="AN7" s="668" t="s">
        <v>32</v>
      </c>
      <c r="AO7" s="604" t="s">
        <v>16</v>
      </c>
      <c r="AP7" s="606"/>
      <c r="AQ7" s="657"/>
      <c r="AR7" s="128"/>
      <c r="AS7" s="128"/>
    </row>
    <row r="8" spans="1:45" s="59" customFormat="1" ht="16.5" customHeight="1">
      <c r="A8" s="585"/>
      <c r="B8" s="672"/>
      <c r="C8" s="553"/>
      <c r="D8" s="553"/>
      <c r="E8" s="571"/>
      <c r="F8" s="595"/>
      <c r="G8" s="553"/>
      <c r="H8" s="553"/>
      <c r="I8" s="571"/>
      <c r="J8" s="595"/>
      <c r="K8" s="553"/>
      <c r="L8" s="553"/>
      <c r="M8" s="571"/>
      <c r="N8" s="595"/>
      <c r="O8" s="553"/>
      <c r="P8" s="553"/>
      <c r="Q8" s="571"/>
      <c r="R8" s="595"/>
      <c r="S8" s="553"/>
      <c r="T8" s="553"/>
      <c r="U8" s="571"/>
      <c r="V8" s="595"/>
      <c r="W8" s="628"/>
      <c r="X8" s="628"/>
      <c r="Y8" s="628"/>
      <c r="Z8" s="553"/>
      <c r="AA8" s="571"/>
      <c r="AB8" s="595"/>
      <c r="AC8" s="628"/>
      <c r="AD8" s="628"/>
      <c r="AE8" s="628"/>
      <c r="AF8" s="553"/>
      <c r="AG8" s="571"/>
      <c r="AH8" s="595"/>
      <c r="AI8" s="628"/>
      <c r="AJ8" s="628"/>
      <c r="AK8" s="553"/>
      <c r="AL8" s="571"/>
      <c r="AM8" s="595"/>
      <c r="AN8" s="669"/>
      <c r="AO8" s="217" t="s">
        <v>15</v>
      </c>
      <c r="AP8" s="217" t="s">
        <v>20</v>
      </c>
      <c r="AQ8" s="657"/>
      <c r="AR8" s="128"/>
      <c r="AS8" s="128"/>
    </row>
    <row r="9" spans="1:45" s="59" customFormat="1" ht="25.5" customHeight="1">
      <c r="A9" s="437" t="s">
        <v>137</v>
      </c>
      <c r="B9" s="438"/>
      <c r="C9" s="439"/>
      <c r="D9" s="440"/>
      <c r="E9" s="441"/>
      <c r="F9" s="442"/>
      <c r="G9" s="439"/>
      <c r="H9" s="440"/>
      <c r="I9" s="441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4"/>
      <c r="AO9" s="443"/>
      <c r="AP9" s="443"/>
      <c r="AQ9" s="445"/>
      <c r="AR9" s="275"/>
      <c r="AS9" s="275"/>
    </row>
    <row r="10" spans="1:45" s="59" customFormat="1" ht="21.75" customHeight="1">
      <c r="A10" s="381" t="s">
        <v>7</v>
      </c>
      <c r="B10" s="385">
        <v>1</v>
      </c>
      <c r="C10" s="39">
        <f>0+2+0</f>
        <v>2</v>
      </c>
      <c r="D10" s="446">
        <f>C10</f>
        <v>2</v>
      </c>
      <c r="E10" s="519">
        <v>2</v>
      </c>
      <c r="F10" s="520">
        <f>E10*100/D10</f>
        <v>100</v>
      </c>
      <c r="G10" s="39">
        <f>0+0+5</f>
        <v>5</v>
      </c>
      <c r="H10" s="446">
        <f>G10</f>
        <v>5</v>
      </c>
      <c r="I10" s="435">
        <v>7</v>
      </c>
      <c r="J10" s="520">
        <f t="shared" ref="J10:J16" si="0">I10*100/H10</f>
        <v>140</v>
      </c>
      <c r="K10" s="433">
        <f>0+40+0</f>
        <v>40</v>
      </c>
      <c r="L10" s="450"/>
      <c r="M10" s="433"/>
      <c r="N10" s="433"/>
      <c r="O10" s="433">
        <f>0+10+0</f>
        <v>10</v>
      </c>
      <c r="P10" s="450"/>
      <c r="Q10" s="433"/>
      <c r="R10" s="433"/>
      <c r="S10" s="433"/>
      <c r="T10" s="450"/>
      <c r="U10" s="433"/>
      <c r="V10" s="433"/>
      <c r="W10" s="433"/>
      <c r="X10" s="433">
        <f>0+0+40</f>
        <v>40</v>
      </c>
      <c r="Y10" s="433">
        <f>SUM(W10:X10)</f>
        <v>40</v>
      </c>
      <c r="Z10" s="450"/>
      <c r="AA10" s="433"/>
      <c r="AB10" s="433"/>
      <c r="AC10" s="433"/>
      <c r="AD10" s="433">
        <f>0+0+10</f>
        <v>10</v>
      </c>
      <c r="AE10" s="433">
        <f>SUM(AC10:AD10)</f>
        <v>10</v>
      </c>
      <c r="AF10" s="450"/>
      <c r="AG10" s="433"/>
      <c r="AH10" s="433"/>
      <c r="AI10" s="433">
        <f>1+0+0</f>
        <v>1</v>
      </c>
      <c r="AJ10" s="433">
        <f>0+1+0</f>
        <v>1</v>
      </c>
      <c r="AK10" s="450">
        <v>1</v>
      </c>
      <c r="AL10" s="433">
        <v>1</v>
      </c>
      <c r="AM10" s="433"/>
      <c r="AN10" s="383"/>
      <c r="AO10" s="91"/>
      <c r="AP10" s="91"/>
      <c r="AQ10" s="384"/>
      <c r="AR10" s="48"/>
      <c r="AS10" s="129"/>
    </row>
    <row r="11" spans="1:45" s="59" customFormat="1" ht="21.75" customHeight="1">
      <c r="A11" s="22" t="s">
        <v>8</v>
      </c>
      <c r="B11" s="240">
        <v>1</v>
      </c>
      <c r="C11" s="7">
        <f>0+2+0</f>
        <v>2</v>
      </c>
      <c r="D11" s="447">
        <f>C11</f>
        <v>2</v>
      </c>
      <c r="E11" s="521">
        <v>2</v>
      </c>
      <c r="F11" s="520">
        <f t="shared" ref="F11:F14" si="1">E11*100/D11</f>
        <v>100</v>
      </c>
      <c r="G11" s="7">
        <f>0+5+0</f>
        <v>5</v>
      </c>
      <c r="H11" s="447">
        <f>G11</f>
        <v>5</v>
      </c>
      <c r="I11" s="521">
        <v>5</v>
      </c>
      <c r="J11" s="522">
        <f t="shared" si="0"/>
        <v>100</v>
      </c>
      <c r="K11" s="434">
        <f>40+0+0</f>
        <v>40</v>
      </c>
      <c r="L11" s="451">
        <v>40</v>
      </c>
      <c r="M11" s="433">
        <v>40</v>
      </c>
      <c r="N11" s="434">
        <f>M11*100/L11</f>
        <v>100</v>
      </c>
      <c r="O11" s="434">
        <f>10+0+0</f>
        <v>10</v>
      </c>
      <c r="P11" s="451">
        <v>10</v>
      </c>
      <c r="Q11" s="433">
        <v>10</v>
      </c>
      <c r="R11" s="434">
        <f>Q11*100/P11</f>
        <v>100</v>
      </c>
      <c r="S11" s="434"/>
      <c r="T11" s="451"/>
      <c r="U11" s="434"/>
      <c r="V11" s="434"/>
      <c r="W11" s="434"/>
      <c r="X11" s="434">
        <f>0+0+40</f>
        <v>40</v>
      </c>
      <c r="Y11" s="433">
        <f t="shared" ref="Y11:Y15" si="2">SUM(W11:X11)</f>
        <v>40</v>
      </c>
      <c r="Z11" s="451"/>
      <c r="AA11" s="434"/>
      <c r="AB11" s="434"/>
      <c r="AC11" s="434"/>
      <c r="AD11" s="434">
        <f>0+0+10</f>
        <v>10</v>
      </c>
      <c r="AE11" s="433">
        <f t="shared" ref="AE11:AE15" si="3">SUM(AC11:AD11)</f>
        <v>10</v>
      </c>
      <c r="AF11" s="451"/>
      <c r="AG11" s="434"/>
      <c r="AH11" s="434"/>
      <c r="AI11" s="434">
        <f>1+0+0</f>
        <v>1</v>
      </c>
      <c r="AJ11" s="434">
        <f>0+0+1</f>
        <v>1</v>
      </c>
      <c r="AK11" s="451">
        <v>1</v>
      </c>
      <c r="AL11" s="434">
        <v>1</v>
      </c>
      <c r="AM11" s="434"/>
      <c r="AN11" s="224"/>
      <c r="AO11" s="5"/>
      <c r="AP11" s="5"/>
      <c r="AQ11" s="23"/>
      <c r="AR11" s="48"/>
      <c r="AS11" s="129"/>
    </row>
    <row r="12" spans="1:45" s="59" customFormat="1" ht="21.75" customHeight="1">
      <c r="A12" s="22" t="s">
        <v>9</v>
      </c>
      <c r="B12" s="240">
        <v>1</v>
      </c>
      <c r="C12" s="7">
        <f>0+0+2</f>
        <v>2</v>
      </c>
      <c r="D12" s="447">
        <f t="shared" ref="D12:D15" si="4">C12</f>
        <v>2</v>
      </c>
      <c r="E12" s="521">
        <v>2</v>
      </c>
      <c r="F12" s="520">
        <f t="shared" ref="F12" si="5">E12*100/D12</f>
        <v>100</v>
      </c>
      <c r="G12" s="7">
        <f>0+0+5</f>
        <v>5</v>
      </c>
      <c r="H12" s="447">
        <f>G12</f>
        <v>5</v>
      </c>
      <c r="I12" s="521">
        <v>5</v>
      </c>
      <c r="J12" s="522">
        <f t="shared" si="0"/>
        <v>100</v>
      </c>
      <c r="K12" s="434">
        <f>40+0</f>
        <v>40</v>
      </c>
      <c r="L12" s="451">
        <v>40</v>
      </c>
      <c r="M12" s="434">
        <v>40</v>
      </c>
      <c r="N12" s="434">
        <f>M12*100/L12</f>
        <v>100</v>
      </c>
      <c r="O12" s="434">
        <f>10+0+0</f>
        <v>10</v>
      </c>
      <c r="P12" s="451">
        <v>10</v>
      </c>
      <c r="Q12" s="434">
        <v>10</v>
      </c>
      <c r="R12" s="434">
        <f>Q12*100/P12</f>
        <v>100</v>
      </c>
      <c r="S12" s="434"/>
      <c r="T12" s="451"/>
      <c r="U12" s="434"/>
      <c r="V12" s="434"/>
      <c r="W12" s="434">
        <f>0+40+0</f>
        <v>40</v>
      </c>
      <c r="X12" s="434"/>
      <c r="Y12" s="433">
        <f t="shared" si="2"/>
        <v>40</v>
      </c>
      <c r="Z12" s="451"/>
      <c r="AA12" s="434"/>
      <c r="AB12" s="434"/>
      <c r="AC12" s="434">
        <f>0+10+0</f>
        <v>10</v>
      </c>
      <c r="AD12" s="434"/>
      <c r="AE12" s="433">
        <f t="shared" si="3"/>
        <v>10</v>
      </c>
      <c r="AF12" s="451"/>
      <c r="AG12" s="434"/>
      <c r="AH12" s="434"/>
      <c r="AI12" s="434">
        <f>0+1+0</f>
        <v>1</v>
      </c>
      <c r="AJ12" s="434">
        <f>0+0+1</f>
        <v>1</v>
      </c>
      <c r="AK12" s="451"/>
      <c r="AL12" s="434"/>
      <c r="AM12" s="434"/>
      <c r="AN12" s="224"/>
      <c r="AO12" s="5"/>
      <c r="AP12" s="5"/>
      <c r="AQ12" s="23"/>
      <c r="AR12" s="48"/>
      <c r="AS12" s="129"/>
    </row>
    <row r="13" spans="1:45" s="59" customFormat="1" ht="21.75" customHeight="1">
      <c r="A13" s="22" t="s">
        <v>11</v>
      </c>
      <c r="B13" s="240">
        <v>1</v>
      </c>
      <c r="C13" s="7">
        <f>0+0+2</f>
        <v>2</v>
      </c>
      <c r="D13" s="447">
        <f t="shared" si="4"/>
        <v>2</v>
      </c>
      <c r="E13" s="521">
        <v>2</v>
      </c>
      <c r="F13" s="520">
        <f t="shared" si="1"/>
        <v>100</v>
      </c>
      <c r="G13" s="7">
        <f>0+0+5</f>
        <v>5</v>
      </c>
      <c r="H13" s="447">
        <f t="shared" ref="H13:H15" si="6">G13</f>
        <v>5</v>
      </c>
      <c r="I13" s="521">
        <v>5</v>
      </c>
      <c r="J13" s="522">
        <f t="shared" si="0"/>
        <v>100</v>
      </c>
      <c r="K13" s="434">
        <f>0+0+40</f>
        <v>40</v>
      </c>
      <c r="L13" s="451"/>
      <c r="M13" s="434"/>
      <c r="N13" s="434"/>
      <c r="O13" s="434">
        <f>0+0+10</f>
        <v>10</v>
      </c>
      <c r="P13" s="451"/>
      <c r="Q13" s="434"/>
      <c r="R13" s="434"/>
      <c r="S13" s="434"/>
      <c r="T13" s="451"/>
      <c r="U13" s="434"/>
      <c r="V13" s="434"/>
      <c r="W13" s="434"/>
      <c r="X13" s="434">
        <f>0+0+40</f>
        <v>40</v>
      </c>
      <c r="Y13" s="433">
        <f t="shared" si="2"/>
        <v>40</v>
      </c>
      <c r="Z13" s="451"/>
      <c r="AA13" s="434"/>
      <c r="AB13" s="434"/>
      <c r="AC13" s="434"/>
      <c r="AD13" s="434">
        <f>0+0+10</f>
        <v>10</v>
      </c>
      <c r="AE13" s="433">
        <f t="shared" si="3"/>
        <v>10</v>
      </c>
      <c r="AF13" s="451"/>
      <c r="AG13" s="434"/>
      <c r="AH13" s="434"/>
      <c r="AI13" s="434">
        <f>1+0+0</f>
        <v>1</v>
      </c>
      <c r="AJ13" s="434">
        <f>0+0+1</f>
        <v>1</v>
      </c>
      <c r="AK13" s="451">
        <v>1</v>
      </c>
      <c r="AL13" s="434">
        <v>1</v>
      </c>
      <c r="AM13" s="434"/>
      <c r="AN13" s="225"/>
      <c r="AO13" s="132"/>
      <c r="AP13" s="132"/>
      <c r="AQ13" s="23"/>
      <c r="AR13" s="48"/>
      <c r="AS13" s="129"/>
    </row>
    <row r="14" spans="1:45" s="99" customFormat="1" ht="21.75" customHeight="1">
      <c r="A14" s="22" t="s">
        <v>12</v>
      </c>
      <c r="B14" s="240">
        <v>1</v>
      </c>
      <c r="C14" s="7">
        <f>0+0+2</f>
        <v>2</v>
      </c>
      <c r="D14" s="447">
        <f t="shared" si="4"/>
        <v>2</v>
      </c>
      <c r="E14" s="521">
        <v>2</v>
      </c>
      <c r="F14" s="520">
        <f t="shared" si="1"/>
        <v>100</v>
      </c>
      <c r="G14" s="7">
        <f>0+0+5</f>
        <v>5</v>
      </c>
      <c r="H14" s="447">
        <f t="shared" si="6"/>
        <v>5</v>
      </c>
      <c r="I14" s="521">
        <v>5</v>
      </c>
      <c r="J14" s="522">
        <f t="shared" si="0"/>
        <v>100</v>
      </c>
      <c r="K14" s="434">
        <f>40+0+0</f>
        <v>40</v>
      </c>
      <c r="L14" s="451">
        <v>40</v>
      </c>
      <c r="M14" s="434">
        <v>40</v>
      </c>
      <c r="N14" s="434">
        <f t="shared" ref="N14:N15" si="7">M14*100/L14</f>
        <v>100</v>
      </c>
      <c r="O14" s="434">
        <f>10+0+0</f>
        <v>10</v>
      </c>
      <c r="P14" s="451">
        <v>10</v>
      </c>
      <c r="Q14" s="434">
        <v>10</v>
      </c>
      <c r="R14" s="434">
        <f t="shared" ref="R14:R15" si="8">Q14*100/P14</f>
        <v>100</v>
      </c>
      <c r="S14" s="434"/>
      <c r="T14" s="451"/>
      <c r="U14" s="434"/>
      <c r="V14" s="434"/>
      <c r="W14" s="434"/>
      <c r="X14" s="434">
        <f>0+40+0</f>
        <v>40</v>
      </c>
      <c r="Y14" s="433">
        <f t="shared" si="2"/>
        <v>40</v>
      </c>
      <c r="Z14" s="451"/>
      <c r="AA14" s="434"/>
      <c r="AB14" s="434"/>
      <c r="AC14" s="434"/>
      <c r="AD14" s="434">
        <f>0+10+0</f>
        <v>10</v>
      </c>
      <c r="AE14" s="433">
        <f t="shared" si="3"/>
        <v>10</v>
      </c>
      <c r="AF14" s="451"/>
      <c r="AG14" s="434"/>
      <c r="AH14" s="434"/>
      <c r="AI14" s="434">
        <f>1+0+0</f>
        <v>1</v>
      </c>
      <c r="AJ14" s="434">
        <f>0+0+1</f>
        <v>1</v>
      </c>
      <c r="AK14" s="451">
        <v>1</v>
      </c>
      <c r="AL14" s="434">
        <v>1</v>
      </c>
      <c r="AM14" s="434"/>
      <c r="AN14" s="225"/>
      <c r="AO14" s="132"/>
      <c r="AP14" s="132"/>
      <c r="AQ14" s="23"/>
      <c r="AR14" s="131"/>
      <c r="AS14" s="129"/>
    </row>
    <row r="15" spans="1:45" s="59" customFormat="1" ht="21.75" customHeight="1">
      <c r="A15" s="100" t="s">
        <v>13</v>
      </c>
      <c r="B15" s="386">
        <v>2</v>
      </c>
      <c r="C15" s="8">
        <f>0+0+4</f>
        <v>4</v>
      </c>
      <c r="D15" s="448">
        <f t="shared" si="4"/>
        <v>4</v>
      </c>
      <c r="E15" s="521">
        <v>4</v>
      </c>
      <c r="F15" s="526">
        <f t="shared" ref="F15" si="9">E15*100/D15</f>
        <v>100</v>
      </c>
      <c r="G15" s="8">
        <f>0+0+10</f>
        <v>10</v>
      </c>
      <c r="H15" s="448">
        <f t="shared" si="6"/>
        <v>10</v>
      </c>
      <c r="I15" s="528">
        <v>10</v>
      </c>
      <c r="J15" s="529">
        <f t="shared" si="0"/>
        <v>100</v>
      </c>
      <c r="K15" s="10">
        <f>80+0+0</f>
        <v>80</v>
      </c>
      <c r="L15" s="452">
        <v>80</v>
      </c>
      <c r="M15" s="10">
        <v>80</v>
      </c>
      <c r="N15" s="545">
        <f t="shared" si="7"/>
        <v>100</v>
      </c>
      <c r="O15" s="10">
        <f>20+0+0</f>
        <v>20</v>
      </c>
      <c r="P15" s="452">
        <v>20</v>
      </c>
      <c r="Q15" s="10">
        <v>20</v>
      </c>
      <c r="R15" s="545">
        <f t="shared" si="8"/>
        <v>100</v>
      </c>
      <c r="S15" s="10"/>
      <c r="T15" s="452"/>
      <c r="U15" s="10"/>
      <c r="V15" s="10"/>
      <c r="W15" s="10"/>
      <c r="X15" s="10">
        <f>0+80+0</f>
        <v>80</v>
      </c>
      <c r="Y15" s="10">
        <f t="shared" si="2"/>
        <v>80</v>
      </c>
      <c r="Z15" s="452"/>
      <c r="AA15" s="10"/>
      <c r="AB15" s="10"/>
      <c r="AC15" s="10"/>
      <c r="AD15" s="10">
        <f>0+20+0</f>
        <v>20</v>
      </c>
      <c r="AE15" s="10">
        <f t="shared" si="3"/>
        <v>20</v>
      </c>
      <c r="AF15" s="452"/>
      <c r="AG15" s="10"/>
      <c r="AH15" s="10"/>
      <c r="AI15" s="10">
        <f>0+2+0</f>
        <v>2</v>
      </c>
      <c r="AJ15" s="10">
        <f>0+0+2</f>
        <v>2</v>
      </c>
      <c r="AK15" s="452"/>
      <c r="AL15" s="10"/>
      <c r="AM15" s="10"/>
      <c r="AN15" s="226"/>
      <c r="AO15" s="134"/>
      <c r="AP15" s="134"/>
      <c r="AQ15" s="24"/>
      <c r="AR15" s="48"/>
      <c r="AS15" s="129"/>
    </row>
    <row r="16" spans="1:45" s="59" customFormat="1" ht="21.75" customHeight="1">
      <c r="A16" s="405" t="s">
        <v>6</v>
      </c>
      <c r="B16" s="406">
        <f>SUM(B10:B15)</f>
        <v>7</v>
      </c>
      <c r="C16" s="407">
        <f>SUM(C10:C15)</f>
        <v>14</v>
      </c>
      <c r="D16" s="449">
        <f>SUM(D10:D15)</f>
        <v>14</v>
      </c>
      <c r="E16" s="408">
        <f>SUM(E10:E15)</f>
        <v>14</v>
      </c>
      <c r="F16" s="409">
        <f>E16*100/D16</f>
        <v>100</v>
      </c>
      <c r="G16" s="407">
        <f>SUM(G10:G15)</f>
        <v>35</v>
      </c>
      <c r="H16" s="449">
        <f>SUM(H10:H15)</f>
        <v>35</v>
      </c>
      <c r="I16" s="527">
        <f>SUM(I10:I15)</f>
        <v>37</v>
      </c>
      <c r="J16" s="409">
        <f t="shared" si="0"/>
        <v>105.71428571428571</v>
      </c>
      <c r="K16" s="409">
        <f>SUM(K10:K15)</f>
        <v>280</v>
      </c>
      <c r="L16" s="409">
        <f>SUM(L10:L15)</f>
        <v>200</v>
      </c>
      <c r="M16" s="409">
        <f>SUM(M10:M15)</f>
        <v>200</v>
      </c>
      <c r="N16" s="409">
        <f>M16*100/L16</f>
        <v>100</v>
      </c>
      <c r="O16" s="409">
        <f>SUM(O10:O15)</f>
        <v>70</v>
      </c>
      <c r="P16" s="453">
        <f>SUM(P10:P15)</f>
        <v>50</v>
      </c>
      <c r="Q16" s="409">
        <f>SUM(Q10:Q15)</f>
        <v>50</v>
      </c>
      <c r="R16" s="409">
        <f>Q16*100/P16</f>
        <v>100</v>
      </c>
      <c r="S16" s="409"/>
      <c r="T16" s="453"/>
      <c r="U16" s="409"/>
      <c r="V16" s="409"/>
      <c r="W16" s="409">
        <f>SUM(W10:W15)</f>
        <v>40</v>
      </c>
      <c r="X16" s="409">
        <f>SUM(X10:X15)</f>
        <v>240</v>
      </c>
      <c r="Y16" s="409">
        <f>SUM(Y10:Y15)</f>
        <v>280</v>
      </c>
      <c r="Z16" s="453"/>
      <c r="AA16" s="409"/>
      <c r="AB16" s="409"/>
      <c r="AC16" s="409">
        <f>SUM(AC10:AC15)</f>
        <v>10</v>
      </c>
      <c r="AD16" s="409">
        <f>SUM(AD10:AD15)</f>
        <v>60</v>
      </c>
      <c r="AE16" s="409">
        <f>SUM(AE10:AE15)</f>
        <v>70</v>
      </c>
      <c r="AF16" s="453"/>
      <c r="AG16" s="409"/>
      <c r="AH16" s="409"/>
      <c r="AI16" s="409">
        <f>SUM(AI10:AI15)</f>
        <v>7</v>
      </c>
      <c r="AJ16" s="409">
        <f>SUM(AJ10:AJ15)</f>
        <v>7</v>
      </c>
      <c r="AK16" s="409">
        <f>SUM(AK10:AK15)</f>
        <v>4</v>
      </c>
      <c r="AL16" s="409">
        <f>SUM(AL10:AL15)</f>
        <v>4</v>
      </c>
      <c r="AM16" s="409"/>
      <c r="AN16" s="405"/>
      <c r="AO16" s="405"/>
      <c r="AP16" s="405"/>
      <c r="AQ16" s="405"/>
      <c r="AR16" s="48"/>
      <c r="AS16" s="129"/>
    </row>
    <row r="17" spans="1:45" s="59" customFormat="1" ht="25.5" customHeight="1">
      <c r="A17" s="390" t="s">
        <v>138</v>
      </c>
      <c r="B17" s="391"/>
      <c r="C17" s="392"/>
      <c r="D17" s="393"/>
      <c r="E17" s="394"/>
      <c r="F17" s="395"/>
      <c r="G17" s="392"/>
      <c r="H17" s="393"/>
      <c r="I17" s="394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4"/>
      <c r="AO17" s="394"/>
      <c r="AP17" s="394"/>
      <c r="AQ17" s="394"/>
      <c r="AR17" s="275"/>
      <c r="AS17" s="275"/>
    </row>
    <row r="18" spans="1:45" s="59" customFormat="1" ht="21.75" customHeight="1">
      <c r="A18" s="381" t="s">
        <v>7</v>
      </c>
      <c r="B18" s="385">
        <v>1</v>
      </c>
      <c r="C18" s="39">
        <f>0+2+0</f>
        <v>2</v>
      </c>
      <c r="D18" s="446">
        <f>C18</f>
        <v>2</v>
      </c>
      <c r="E18" s="521">
        <v>2</v>
      </c>
      <c r="F18" s="522">
        <f>E18*100/D18</f>
        <v>100</v>
      </c>
      <c r="G18" s="39">
        <f>0+0+4</f>
        <v>4</v>
      </c>
      <c r="H18" s="446">
        <f>G18</f>
        <v>4</v>
      </c>
      <c r="I18" s="435">
        <v>6</v>
      </c>
      <c r="J18" s="520">
        <f>I18*100/H18</f>
        <v>150</v>
      </c>
      <c r="K18" s="433"/>
      <c r="L18" s="450"/>
      <c r="M18" s="433"/>
      <c r="N18" s="433"/>
      <c r="O18" s="433"/>
      <c r="P18" s="450"/>
      <c r="Q18" s="433"/>
      <c r="R18" s="433"/>
      <c r="S18" s="433">
        <f>20+0+0</f>
        <v>20</v>
      </c>
      <c r="T18" s="450">
        <v>20</v>
      </c>
      <c r="U18" s="433">
        <v>20</v>
      </c>
      <c r="V18" s="433">
        <f>U18*100/T18</f>
        <v>100</v>
      </c>
      <c r="W18" s="433"/>
      <c r="X18" s="433">
        <f>0+0+20</f>
        <v>20</v>
      </c>
      <c r="Y18" s="433">
        <f>SUM(W18:X18)</f>
        <v>20</v>
      </c>
      <c r="Z18" s="450"/>
      <c r="AA18" s="433"/>
      <c r="AB18" s="433"/>
      <c r="AC18" s="433"/>
      <c r="AD18" s="433"/>
      <c r="AE18" s="433"/>
      <c r="AF18" s="450"/>
      <c r="AG18" s="433"/>
      <c r="AH18" s="433"/>
      <c r="AI18" s="433">
        <f>0+1+0</f>
        <v>1</v>
      </c>
      <c r="AJ18" s="433">
        <f>0+1+0</f>
        <v>1</v>
      </c>
      <c r="AK18" s="450"/>
      <c r="AL18" s="433"/>
      <c r="AM18" s="433"/>
      <c r="AN18" s="383"/>
      <c r="AO18" s="91"/>
      <c r="AP18" s="91"/>
      <c r="AQ18" s="384"/>
      <c r="AR18" s="48"/>
      <c r="AS18" s="129"/>
    </row>
    <row r="19" spans="1:45" s="59" customFormat="1" ht="21.75" customHeight="1">
      <c r="A19" s="22" t="s">
        <v>8</v>
      </c>
      <c r="B19" s="240">
        <v>3</v>
      </c>
      <c r="C19" s="7">
        <f>0+6+0</f>
        <v>6</v>
      </c>
      <c r="D19" s="447">
        <f>C19</f>
        <v>6</v>
      </c>
      <c r="E19" s="521">
        <v>6</v>
      </c>
      <c r="F19" s="522">
        <f>E19*100/D19</f>
        <v>100</v>
      </c>
      <c r="G19" s="7">
        <f>0+12+0</f>
        <v>12</v>
      </c>
      <c r="H19" s="446">
        <f t="shared" ref="H19:H21" si="10">G19</f>
        <v>12</v>
      </c>
      <c r="I19" s="521">
        <v>12</v>
      </c>
      <c r="J19" s="522">
        <f>I19*100/H19</f>
        <v>100</v>
      </c>
      <c r="K19" s="434"/>
      <c r="L19" s="451"/>
      <c r="M19" s="434"/>
      <c r="N19" s="434"/>
      <c r="O19" s="434"/>
      <c r="P19" s="451"/>
      <c r="Q19" s="434"/>
      <c r="R19" s="434"/>
      <c r="S19" s="434">
        <f>60+0+0</f>
        <v>60</v>
      </c>
      <c r="T19" s="451">
        <v>60</v>
      </c>
      <c r="U19" s="434">
        <v>60</v>
      </c>
      <c r="V19" s="434">
        <f>U19*100/T19</f>
        <v>100</v>
      </c>
      <c r="W19" s="434"/>
      <c r="X19" s="434">
        <f>0+0+60</f>
        <v>60</v>
      </c>
      <c r="Y19" s="433">
        <f t="shared" ref="Y19:Y21" si="11">SUM(W19:X19)</f>
        <v>60</v>
      </c>
      <c r="Z19" s="451"/>
      <c r="AA19" s="434"/>
      <c r="AB19" s="434"/>
      <c r="AC19" s="434"/>
      <c r="AD19" s="434"/>
      <c r="AE19" s="434"/>
      <c r="AF19" s="451"/>
      <c r="AG19" s="434"/>
      <c r="AH19" s="434"/>
      <c r="AI19" s="434">
        <f>3+0+0</f>
        <v>3</v>
      </c>
      <c r="AJ19" s="434">
        <f>0+0+3</f>
        <v>3</v>
      </c>
      <c r="AK19" s="451">
        <v>3</v>
      </c>
      <c r="AL19" s="434">
        <v>3</v>
      </c>
      <c r="AM19" s="434"/>
      <c r="AN19" s="224"/>
      <c r="AO19" s="5"/>
      <c r="AP19" s="5"/>
      <c r="AQ19" s="23"/>
      <c r="AR19" s="48"/>
      <c r="AS19" s="129"/>
    </row>
    <row r="20" spans="1:45" s="59" customFormat="1" ht="21.75" customHeight="1">
      <c r="A20" s="22" t="s">
        <v>9</v>
      </c>
      <c r="B20" s="240">
        <v>3</v>
      </c>
      <c r="C20" s="7">
        <f>0+0+6</f>
        <v>6</v>
      </c>
      <c r="D20" s="447">
        <f t="shared" ref="D20:D21" si="12">C20</f>
        <v>6</v>
      </c>
      <c r="E20" s="521">
        <v>6</v>
      </c>
      <c r="F20" s="522">
        <f>E20*100/D20</f>
        <v>100</v>
      </c>
      <c r="G20" s="7">
        <f>0+0+12</f>
        <v>12</v>
      </c>
      <c r="H20" s="446">
        <f t="shared" si="10"/>
        <v>12</v>
      </c>
      <c r="I20" s="521">
        <v>12</v>
      </c>
      <c r="J20" s="522">
        <f>I20*100/H20</f>
        <v>100</v>
      </c>
      <c r="K20" s="434"/>
      <c r="L20" s="451"/>
      <c r="M20" s="434"/>
      <c r="N20" s="434"/>
      <c r="O20" s="434"/>
      <c r="P20" s="451"/>
      <c r="Q20" s="434"/>
      <c r="R20" s="434"/>
      <c r="S20" s="434">
        <f>60+0+0</f>
        <v>60</v>
      </c>
      <c r="T20" s="451">
        <v>60</v>
      </c>
      <c r="U20" s="434">
        <v>60</v>
      </c>
      <c r="V20" s="434">
        <f>U20*100/T20</f>
        <v>100</v>
      </c>
      <c r="W20" s="434">
        <f>0+60+0</f>
        <v>60</v>
      </c>
      <c r="X20" s="434"/>
      <c r="Y20" s="433">
        <f t="shared" si="11"/>
        <v>60</v>
      </c>
      <c r="Z20" s="451"/>
      <c r="AA20" s="434"/>
      <c r="AB20" s="434"/>
      <c r="AC20" s="434"/>
      <c r="AD20" s="434"/>
      <c r="AE20" s="434"/>
      <c r="AF20" s="451"/>
      <c r="AG20" s="434"/>
      <c r="AH20" s="434"/>
      <c r="AI20" s="434">
        <f>0+3+0</f>
        <v>3</v>
      </c>
      <c r="AJ20" s="434">
        <f>0+0+3</f>
        <v>3</v>
      </c>
      <c r="AK20" s="451"/>
      <c r="AL20" s="434"/>
      <c r="AM20" s="434"/>
      <c r="AN20" s="224"/>
      <c r="AO20" s="5"/>
      <c r="AP20" s="5"/>
      <c r="AQ20" s="23"/>
      <c r="AR20" s="48"/>
      <c r="AS20" s="129"/>
    </row>
    <row r="21" spans="1:45" s="59" customFormat="1" ht="21.75" customHeight="1">
      <c r="A21" s="489" t="s">
        <v>11</v>
      </c>
      <c r="B21" s="490">
        <v>3</v>
      </c>
      <c r="C21" s="491">
        <f>0+0+6</f>
        <v>6</v>
      </c>
      <c r="D21" s="492">
        <f t="shared" si="12"/>
        <v>6</v>
      </c>
      <c r="E21" s="523">
        <v>6</v>
      </c>
      <c r="F21" s="524">
        <f>E21*100/D21</f>
        <v>100</v>
      </c>
      <c r="G21" s="491">
        <f>0+0+12</f>
        <v>12</v>
      </c>
      <c r="H21" s="446">
        <f t="shared" si="10"/>
        <v>12</v>
      </c>
      <c r="I21" s="523">
        <v>12</v>
      </c>
      <c r="J21" s="524">
        <f>I21*100/H21</f>
        <v>100</v>
      </c>
      <c r="K21" s="493"/>
      <c r="L21" s="494"/>
      <c r="M21" s="493"/>
      <c r="N21" s="493"/>
      <c r="O21" s="493"/>
      <c r="P21" s="494"/>
      <c r="Q21" s="493"/>
      <c r="R21" s="493"/>
      <c r="S21" s="493">
        <f>60+0+0</f>
        <v>60</v>
      </c>
      <c r="T21" s="494">
        <v>60</v>
      </c>
      <c r="U21" s="493">
        <v>60</v>
      </c>
      <c r="V21" s="493">
        <f>U21*100/T21</f>
        <v>100</v>
      </c>
      <c r="W21" s="493"/>
      <c r="X21" s="493">
        <f>0+0+60</f>
        <v>60</v>
      </c>
      <c r="Y21" s="433">
        <f t="shared" si="11"/>
        <v>60</v>
      </c>
      <c r="Z21" s="494"/>
      <c r="AA21" s="493"/>
      <c r="AB21" s="493"/>
      <c r="AC21" s="493"/>
      <c r="AD21" s="493"/>
      <c r="AE21" s="493"/>
      <c r="AF21" s="494"/>
      <c r="AG21" s="493"/>
      <c r="AH21" s="493"/>
      <c r="AI21" s="493">
        <f>3+0+0</f>
        <v>3</v>
      </c>
      <c r="AJ21" s="493">
        <f>0+0+3</f>
        <v>3</v>
      </c>
      <c r="AK21" s="494">
        <v>3</v>
      </c>
      <c r="AL21" s="493">
        <v>3</v>
      </c>
      <c r="AM21" s="493"/>
      <c r="AN21" s="495"/>
      <c r="AO21" s="496"/>
      <c r="AP21" s="496"/>
      <c r="AQ21" s="497"/>
      <c r="AR21" s="48"/>
      <c r="AS21" s="129"/>
    </row>
    <row r="22" spans="1:45" s="59" customFormat="1" ht="21.75" customHeight="1">
      <c r="A22" s="498" t="s">
        <v>6</v>
      </c>
      <c r="B22" s="499">
        <f>SUM(B18:B21)</f>
        <v>10</v>
      </c>
      <c r="C22" s="500">
        <f>SUM(C18:C21)</f>
        <v>20</v>
      </c>
      <c r="D22" s="501">
        <f>SUM(D18:D21)</f>
        <v>20</v>
      </c>
      <c r="E22" s="408">
        <f>SUM(E18:E21)</f>
        <v>20</v>
      </c>
      <c r="F22" s="408">
        <f>E22*100/D22</f>
        <v>100</v>
      </c>
      <c r="G22" s="500">
        <f>SUM(G18:G21)</f>
        <v>40</v>
      </c>
      <c r="H22" s="501">
        <f>SUM(H18:H21)</f>
        <v>40</v>
      </c>
      <c r="I22" s="408">
        <f>SUM(I18:I21)</f>
        <v>42</v>
      </c>
      <c r="J22" s="502">
        <f>I22*100/H22</f>
        <v>105</v>
      </c>
      <c r="K22" s="502"/>
      <c r="L22" s="503"/>
      <c r="M22" s="502"/>
      <c r="N22" s="502"/>
      <c r="O22" s="502"/>
      <c r="P22" s="503"/>
      <c r="Q22" s="502"/>
      <c r="R22" s="502"/>
      <c r="S22" s="502">
        <f>SUM(S18:S21)</f>
        <v>200</v>
      </c>
      <c r="T22" s="503">
        <f>SUM(T18:T21)</f>
        <v>200</v>
      </c>
      <c r="U22" s="502">
        <f>SUM(U18:U21)</f>
        <v>200</v>
      </c>
      <c r="V22" s="502">
        <f>U22*100/T22</f>
        <v>100</v>
      </c>
      <c r="W22" s="502">
        <f>SUM(W18:W21)</f>
        <v>60</v>
      </c>
      <c r="X22" s="502">
        <f>SUM(X18:X21)</f>
        <v>140</v>
      </c>
      <c r="Y22" s="502">
        <f>SUM(Y18:Y21)</f>
        <v>200</v>
      </c>
      <c r="Z22" s="503"/>
      <c r="AA22" s="502"/>
      <c r="AB22" s="502"/>
      <c r="AC22" s="502"/>
      <c r="AD22" s="502"/>
      <c r="AE22" s="502"/>
      <c r="AF22" s="503"/>
      <c r="AG22" s="502"/>
      <c r="AH22" s="502"/>
      <c r="AI22" s="502">
        <f>SUM(AI18:AI21)</f>
        <v>10</v>
      </c>
      <c r="AJ22" s="502">
        <f>SUM(AJ18:AJ21)</f>
        <v>10</v>
      </c>
      <c r="AK22" s="503">
        <f>SUM(AK18:AK21)</f>
        <v>6</v>
      </c>
      <c r="AL22" s="502">
        <f>SUM(AL18:AL21)</f>
        <v>6</v>
      </c>
      <c r="AM22" s="502"/>
      <c r="AN22" s="498"/>
      <c r="AO22" s="498"/>
      <c r="AP22" s="498"/>
      <c r="AQ22" s="498"/>
      <c r="AR22" s="48"/>
      <c r="AS22" s="129"/>
    </row>
    <row r="23" spans="1:45" s="59" customFormat="1" ht="25.5" customHeight="1">
      <c r="A23" s="390" t="s">
        <v>140</v>
      </c>
      <c r="B23" s="391"/>
      <c r="C23" s="392"/>
      <c r="D23" s="393"/>
      <c r="E23" s="394"/>
      <c r="F23" s="395"/>
      <c r="G23" s="392"/>
      <c r="H23" s="393"/>
      <c r="I23" s="394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4"/>
      <c r="AO23" s="394"/>
      <c r="AP23" s="394"/>
      <c r="AQ23" s="394"/>
      <c r="AR23" s="275"/>
      <c r="AS23" s="275"/>
    </row>
    <row r="24" spans="1:45" s="59" customFormat="1" ht="21.75" customHeight="1">
      <c r="A24" s="22" t="s">
        <v>8</v>
      </c>
      <c r="B24" s="240">
        <v>25</v>
      </c>
      <c r="C24" s="397"/>
      <c r="D24" s="398"/>
      <c r="E24" s="399"/>
      <c r="F24" s="400"/>
      <c r="G24" s="7">
        <f>0+100+0</f>
        <v>100</v>
      </c>
      <c r="H24" s="454">
        <f>G24</f>
        <v>100</v>
      </c>
      <c r="I24" s="436">
        <v>100</v>
      </c>
      <c r="J24" s="434">
        <f t="shared" ref="J24:J30" si="13">I24*100/H24</f>
        <v>100</v>
      </c>
      <c r="K24" s="434"/>
      <c r="L24" s="451"/>
      <c r="M24" s="434"/>
      <c r="N24" s="434"/>
      <c r="O24" s="434"/>
      <c r="P24" s="451"/>
      <c r="Q24" s="434"/>
      <c r="R24" s="434"/>
      <c r="S24" s="434"/>
      <c r="T24" s="451"/>
      <c r="U24" s="434"/>
      <c r="V24" s="434"/>
      <c r="W24" s="434"/>
      <c r="X24" s="434"/>
      <c r="Y24" s="434"/>
      <c r="Z24" s="451"/>
      <c r="AA24" s="434"/>
      <c r="AB24" s="434"/>
      <c r="AC24" s="434"/>
      <c r="AD24" s="434"/>
      <c r="AE24" s="434"/>
      <c r="AF24" s="451"/>
      <c r="AG24" s="434"/>
      <c r="AH24" s="434"/>
      <c r="AI24" s="434">
        <f>25+0+0</f>
        <v>25</v>
      </c>
      <c r="AJ24" s="434">
        <f>0+0+25</f>
        <v>25</v>
      </c>
      <c r="AK24" s="451">
        <v>25</v>
      </c>
      <c r="AL24" s="434">
        <v>25</v>
      </c>
      <c r="AM24" s="434"/>
      <c r="AN24" s="224"/>
      <c r="AO24" s="5"/>
      <c r="AP24" s="5"/>
      <c r="AQ24" s="23"/>
      <c r="AR24" s="48"/>
      <c r="AS24" s="129"/>
    </row>
    <row r="25" spans="1:45" s="59" customFormat="1" ht="21.75" customHeight="1">
      <c r="A25" s="22" t="s">
        <v>9</v>
      </c>
      <c r="B25" s="240">
        <v>4</v>
      </c>
      <c r="C25" s="397"/>
      <c r="D25" s="398"/>
      <c r="E25" s="399"/>
      <c r="F25" s="400"/>
      <c r="G25" s="7">
        <f>0+0+16</f>
        <v>16</v>
      </c>
      <c r="H25" s="454">
        <f t="shared" ref="H25:H28" si="14">G25</f>
        <v>16</v>
      </c>
      <c r="I25" s="436">
        <v>16</v>
      </c>
      <c r="J25" s="434">
        <f t="shared" si="13"/>
        <v>100</v>
      </c>
      <c r="K25" s="434"/>
      <c r="L25" s="451"/>
      <c r="M25" s="434"/>
      <c r="N25" s="434"/>
      <c r="O25" s="434"/>
      <c r="P25" s="451"/>
      <c r="Q25" s="434"/>
      <c r="R25" s="434"/>
      <c r="S25" s="434"/>
      <c r="T25" s="451"/>
      <c r="U25" s="434"/>
      <c r="V25" s="434"/>
      <c r="W25" s="434"/>
      <c r="X25" s="434"/>
      <c r="Y25" s="434"/>
      <c r="Z25" s="451"/>
      <c r="AA25" s="434"/>
      <c r="AB25" s="434"/>
      <c r="AC25" s="434"/>
      <c r="AD25" s="434"/>
      <c r="AE25" s="434"/>
      <c r="AF25" s="451"/>
      <c r="AG25" s="434"/>
      <c r="AH25" s="434"/>
      <c r="AI25" s="434">
        <f>0+4+0</f>
        <v>4</v>
      </c>
      <c r="AJ25" s="434">
        <f>0+0+4</f>
        <v>4</v>
      </c>
      <c r="AK25" s="451"/>
      <c r="AL25" s="434"/>
      <c r="AM25" s="434"/>
      <c r="AN25" s="224"/>
      <c r="AO25" s="5"/>
      <c r="AP25" s="5"/>
      <c r="AQ25" s="23"/>
      <c r="AR25" s="48"/>
      <c r="AS25" s="129"/>
    </row>
    <row r="26" spans="1:45" s="59" customFormat="1" ht="21.75" customHeight="1">
      <c r="A26" s="22" t="s">
        <v>10</v>
      </c>
      <c r="B26" s="240">
        <v>1</v>
      </c>
      <c r="C26" s="397"/>
      <c r="D26" s="398"/>
      <c r="E26" s="399"/>
      <c r="F26" s="400"/>
      <c r="G26" s="7">
        <f>0+0+4</f>
        <v>4</v>
      </c>
      <c r="H26" s="454">
        <f t="shared" si="14"/>
        <v>4</v>
      </c>
      <c r="I26" s="436">
        <v>4</v>
      </c>
      <c r="J26" s="434">
        <f t="shared" si="13"/>
        <v>100</v>
      </c>
      <c r="K26" s="434"/>
      <c r="L26" s="451"/>
      <c r="M26" s="434"/>
      <c r="N26" s="434"/>
      <c r="O26" s="434"/>
      <c r="P26" s="451"/>
      <c r="Q26" s="434"/>
      <c r="R26" s="434"/>
      <c r="S26" s="434"/>
      <c r="T26" s="451"/>
      <c r="U26" s="434"/>
      <c r="V26" s="434"/>
      <c r="W26" s="434"/>
      <c r="X26" s="434"/>
      <c r="Y26" s="434"/>
      <c r="Z26" s="451"/>
      <c r="AA26" s="434"/>
      <c r="AB26" s="434"/>
      <c r="AC26" s="434"/>
      <c r="AD26" s="434"/>
      <c r="AE26" s="434"/>
      <c r="AF26" s="451"/>
      <c r="AG26" s="434"/>
      <c r="AH26" s="434"/>
      <c r="AI26" s="434">
        <f>0+0+1</f>
        <v>1</v>
      </c>
      <c r="AJ26" s="434">
        <f>0+0+1</f>
        <v>1</v>
      </c>
      <c r="AK26" s="451"/>
      <c r="AL26" s="434"/>
      <c r="AM26" s="434"/>
      <c r="AN26" s="224"/>
      <c r="AO26" s="5"/>
      <c r="AP26" s="5"/>
      <c r="AQ26" s="23"/>
      <c r="AR26" s="48"/>
      <c r="AS26" s="129"/>
    </row>
    <row r="27" spans="1:45" s="59" customFormat="1" ht="21.75" customHeight="1">
      <c r="A27" s="22" t="s">
        <v>11</v>
      </c>
      <c r="B27" s="240">
        <v>3</v>
      </c>
      <c r="C27" s="397"/>
      <c r="D27" s="398"/>
      <c r="E27" s="399"/>
      <c r="F27" s="400"/>
      <c r="G27" s="7">
        <f>0+0+9</f>
        <v>9</v>
      </c>
      <c r="H27" s="454">
        <f t="shared" si="14"/>
        <v>9</v>
      </c>
      <c r="I27" s="436">
        <v>9</v>
      </c>
      <c r="J27" s="434">
        <f t="shared" si="13"/>
        <v>100</v>
      </c>
      <c r="K27" s="434"/>
      <c r="L27" s="451"/>
      <c r="M27" s="434"/>
      <c r="N27" s="434"/>
      <c r="O27" s="434"/>
      <c r="P27" s="451"/>
      <c r="Q27" s="434"/>
      <c r="R27" s="434"/>
      <c r="S27" s="434"/>
      <c r="T27" s="451"/>
      <c r="U27" s="434"/>
      <c r="V27" s="434"/>
      <c r="W27" s="434"/>
      <c r="X27" s="434"/>
      <c r="Y27" s="434"/>
      <c r="Z27" s="451"/>
      <c r="AA27" s="434"/>
      <c r="AB27" s="434"/>
      <c r="AC27" s="434"/>
      <c r="AD27" s="434"/>
      <c r="AE27" s="434"/>
      <c r="AF27" s="451"/>
      <c r="AG27" s="434"/>
      <c r="AH27" s="434"/>
      <c r="AI27" s="434">
        <f>3+0+0</f>
        <v>3</v>
      </c>
      <c r="AJ27" s="434">
        <f>0+0+3</f>
        <v>3</v>
      </c>
      <c r="AK27" s="451">
        <v>3</v>
      </c>
      <c r="AL27" s="434">
        <v>3</v>
      </c>
      <c r="AM27" s="434"/>
      <c r="AN27" s="225"/>
      <c r="AO27" s="132"/>
      <c r="AP27" s="132"/>
      <c r="AQ27" s="23"/>
      <c r="AR27" s="48"/>
      <c r="AS27" s="129"/>
    </row>
    <row r="28" spans="1:45" s="59" customFormat="1" ht="21.75" customHeight="1">
      <c r="A28" s="489" t="s">
        <v>12</v>
      </c>
      <c r="B28" s="490">
        <v>10</v>
      </c>
      <c r="C28" s="504"/>
      <c r="D28" s="505"/>
      <c r="E28" s="506"/>
      <c r="F28" s="507"/>
      <c r="G28" s="491">
        <f>0+0+40</f>
        <v>40</v>
      </c>
      <c r="H28" s="508">
        <f t="shared" si="14"/>
        <v>40</v>
      </c>
      <c r="I28" s="525">
        <v>41</v>
      </c>
      <c r="J28" s="493">
        <f t="shared" si="13"/>
        <v>102.5</v>
      </c>
      <c r="K28" s="493"/>
      <c r="L28" s="494"/>
      <c r="M28" s="493"/>
      <c r="N28" s="493"/>
      <c r="O28" s="493"/>
      <c r="P28" s="494"/>
      <c r="Q28" s="493"/>
      <c r="R28" s="493"/>
      <c r="S28" s="493"/>
      <c r="T28" s="494"/>
      <c r="U28" s="493"/>
      <c r="V28" s="493"/>
      <c r="W28" s="493"/>
      <c r="X28" s="493"/>
      <c r="Y28" s="493"/>
      <c r="Z28" s="494"/>
      <c r="AA28" s="493"/>
      <c r="AB28" s="493"/>
      <c r="AC28" s="493"/>
      <c r="AD28" s="493"/>
      <c r="AE28" s="493"/>
      <c r="AF28" s="494"/>
      <c r="AG28" s="493"/>
      <c r="AH28" s="493"/>
      <c r="AI28" s="493">
        <f>10+0+0</f>
        <v>10</v>
      </c>
      <c r="AJ28" s="493">
        <f>0+0+10</f>
        <v>10</v>
      </c>
      <c r="AK28" s="494">
        <v>10</v>
      </c>
      <c r="AL28" s="493">
        <v>10</v>
      </c>
      <c r="AM28" s="493"/>
      <c r="AN28" s="495"/>
      <c r="AO28" s="496"/>
      <c r="AP28" s="496"/>
      <c r="AQ28" s="497"/>
      <c r="AR28" s="48"/>
      <c r="AS28" s="129"/>
    </row>
    <row r="29" spans="1:45" s="59" customFormat="1" ht="21.75" customHeight="1">
      <c r="A29" s="498" t="s">
        <v>6</v>
      </c>
      <c r="B29" s="499">
        <f>SUM(B24:B28)</f>
        <v>43</v>
      </c>
      <c r="C29" s="509"/>
      <c r="D29" s="509"/>
      <c r="E29" s="509"/>
      <c r="F29" s="510"/>
      <c r="G29" s="500">
        <f>SUM(G24:G28)</f>
        <v>169</v>
      </c>
      <c r="H29" s="501">
        <f>SUM(H24:H28)</f>
        <v>169</v>
      </c>
      <c r="I29" s="408">
        <f>SUM(I24:I28)</f>
        <v>170</v>
      </c>
      <c r="J29" s="502">
        <f t="shared" si="13"/>
        <v>100.59171597633136</v>
      </c>
      <c r="K29" s="502"/>
      <c r="L29" s="503"/>
      <c r="M29" s="502"/>
      <c r="N29" s="502"/>
      <c r="O29" s="502"/>
      <c r="P29" s="503"/>
      <c r="Q29" s="502"/>
      <c r="R29" s="502"/>
      <c r="S29" s="502"/>
      <c r="T29" s="503"/>
      <c r="U29" s="502"/>
      <c r="V29" s="502"/>
      <c r="W29" s="502"/>
      <c r="X29" s="502"/>
      <c r="Y29" s="502"/>
      <c r="Z29" s="503"/>
      <c r="AA29" s="502"/>
      <c r="AB29" s="502"/>
      <c r="AC29" s="502"/>
      <c r="AD29" s="502"/>
      <c r="AE29" s="502"/>
      <c r="AF29" s="503"/>
      <c r="AG29" s="502"/>
      <c r="AH29" s="502"/>
      <c r="AI29" s="502">
        <f>SUM(AI24:AI28)</f>
        <v>43</v>
      </c>
      <c r="AJ29" s="502">
        <f>SUM(AJ24:AJ28)</f>
        <v>43</v>
      </c>
      <c r="AK29" s="503">
        <f>SUM(AK24:AK28)</f>
        <v>38</v>
      </c>
      <c r="AL29" s="502">
        <f>SUM(AL24:AL28)</f>
        <v>38</v>
      </c>
      <c r="AM29" s="502"/>
      <c r="AN29" s="498"/>
      <c r="AO29" s="498"/>
      <c r="AP29" s="498"/>
      <c r="AQ29" s="498"/>
      <c r="AR29" s="48"/>
      <c r="AS29" s="129"/>
    </row>
    <row r="30" spans="1:45" s="59" customFormat="1" ht="21.75" customHeight="1">
      <c r="A30" s="401"/>
      <c r="B30" s="402">
        <f>B16+B22+B29</f>
        <v>60</v>
      </c>
      <c r="C30" s="402">
        <f t="shared" ref="C30:F30" si="15">C16+C22+C29</f>
        <v>34</v>
      </c>
      <c r="D30" s="402">
        <f t="shared" si="15"/>
        <v>34</v>
      </c>
      <c r="E30" s="402">
        <f t="shared" si="15"/>
        <v>34</v>
      </c>
      <c r="F30" s="402">
        <f t="shared" si="15"/>
        <v>200</v>
      </c>
      <c r="G30" s="403">
        <f>G16+G22+G29</f>
        <v>244</v>
      </c>
      <c r="H30" s="403">
        <f>H16+H22+H29</f>
        <v>244</v>
      </c>
      <c r="I30" s="401">
        <f t="shared" ref="I30" si="16">I16+I22+I29</f>
        <v>249</v>
      </c>
      <c r="J30" s="401">
        <f t="shared" si="13"/>
        <v>102.04918032786885</v>
      </c>
      <c r="K30" s="401">
        <f t="shared" ref="K30" si="17">K16+K22+K29</f>
        <v>280</v>
      </c>
      <c r="L30" s="401">
        <f t="shared" ref="L30" si="18">L16+L22+L29</f>
        <v>200</v>
      </c>
      <c r="M30" s="401">
        <f t="shared" ref="M30" si="19">M16+M22+M29</f>
        <v>200</v>
      </c>
      <c r="N30" s="401">
        <f t="shared" ref="N30" si="20">N16+N22+N29</f>
        <v>100</v>
      </c>
      <c r="O30" s="401">
        <f t="shared" ref="O30" si="21">O16+O22+O29</f>
        <v>70</v>
      </c>
      <c r="P30" s="401">
        <f t="shared" ref="P30" si="22">P16+P22+P29</f>
        <v>50</v>
      </c>
      <c r="Q30" s="401">
        <f t="shared" ref="Q30" si="23">Q16+Q22+Q29</f>
        <v>50</v>
      </c>
      <c r="R30" s="401">
        <f t="shared" ref="R30" si="24">R16+R22+R29</f>
        <v>100</v>
      </c>
      <c r="S30" s="401">
        <f t="shared" ref="S30" si="25">S16+S22+S29</f>
        <v>200</v>
      </c>
      <c r="T30" s="401">
        <f t="shared" ref="T30" si="26">T16+T22+T29</f>
        <v>200</v>
      </c>
      <c r="U30" s="401">
        <f t="shared" ref="U30" si="27">U16+U22+U29</f>
        <v>200</v>
      </c>
      <c r="V30" s="401">
        <f t="shared" ref="V30" si="28">V16+V22+V29</f>
        <v>100</v>
      </c>
      <c r="W30" s="401">
        <f t="shared" ref="W30" si="29">W16+W22+W29</f>
        <v>100</v>
      </c>
      <c r="X30" s="401">
        <f t="shared" ref="X30:Y30" si="30">X16+X22+X29</f>
        <v>380</v>
      </c>
      <c r="Y30" s="401">
        <f t="shared" si="30"/>
        <v>480</v>
      </c>
      <c r="Z30" s="401">
        <f t="shared" ref="Z30" si="31">Z16+Z22+Z29</f>
        <v>0</v>
      </c>
      <c r="AA30" s="401">
        <f t="shared" ref="AA30" si="32">AA16+AA22+AA29</f>
        <v>0</v>
      </c>
      <c r="AB30" s="401">
        <f t="shared" ref="AB30" si="33">AB16+AB22+AB29</f>
        <v>0</v>
      </c>
      <c r="AC30" s="401">
        <f t="shared" ref="AC30" si="34">AC16+AC22+AC29</f>
        <v>10</v>
      </c>
      <c r="AD30" s="401">
        <f t="shared" ref="AD30:AE30" si="35">AD16+AD22+AD29</f>
        <v>60</v>
      </c>
      <c r="AE30" s="401">
        <f t="shared" si="35"/>
        <v>70</v>
      </c>
      <c r="AF30" s="401">
        <f t="shared" ref="AF30" si="36">AF16+AF22+AF29</f>
        <v>0</v>
      </c>
      <c r="AG30" s="401">
        <f t="shared" ref="AG30" si="37">AG16+AG22+AG29</f>
        <v>0</v>
      </c>
      <c r="AH30" s="401">
        <f t="shared" ref="AH30" si="38">AH16+AH22+AH29</f>
        <v>0</v>
      </c>
      <c r="AI30" s="401">
        <f t="shared" ref="AI30" si="39">AI16+AI22+AI29</f>
        <v>60</v>
      </c>
      <c r="AJ30" s="401">
        <f t="shared" ref="AJ30" si="40">AJ16+AJ22+AJ29</f>
        <v>60</v>
      </c>
      <c r="AK30" s="544">
        <f>AK16+AK22+AK29</f>
        <v>48</v>
      </c>
      <c r="AL30" s="401">
        <f t="shared" ref="AL30" si="41">AL16+AL22+AL29</f>
        <v>48</v>
      </c>
      <c r="AM30" s="401">
        <f t="shared" ref="AM30" si="42">AM16+AM22+AM29</f>
        <v>0</v>
      </c>
      <c r="AN30" s="401">
        <f t="shared" ref="AN30" si="43">AN16+AN22+AN29</f>
        <v>0</v>
      </c>
      <c r="AO30" s="401">
        <f t="shared" ref="AO30" si="44">AO16+AO22+AO29</f>
        <v>0</v>
      </c>
      <c r="AP30" s="401">
        <f t="shared" ref="AP30" si="45">AP16+AP22+AP29</f>
        <v>0</v>
      </c>
      <c r="AQ30" s="401">
        <f t="shared" ref="AQ30" si="46">AQ16+AQ22+AQ29</f>
        <v>0</v>
      </c>
      <c r="AR30" s="48"/>
      <c r="AS30" s="129"/>
    </row>
    <row r="31" spans="1:45" s="59" customFormat="1" ht="21.75" customHeight="1">
      <c r="A31" s="387"/>
      <c r="B31" s="388"/>
      <c r="C31" s="389"/>
      <c r="D31" s="389"/>
      <c r="E31" s="389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87"/>
      <c r="AO31" s="387"/>
      <c r="AP31" s="387"/>
      <c r="AQ31" s="387"/>
      <c r="AR31" s="48"/>
      <c r="AS31" s="129"/>
    </row>
    <row r="32" spans="1:45" s="59" customFormat="1" ht="21.75" customHeight="1">
      <c r="A32" s="387"/>
      <c r="B32" s="388"/>
      <c r="C32" s="389"/>
      <c r="D32" s="389"/>
      <c r="E32" s="389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87"/>
      <c r="AO32" s="387"/>
      <c r="AP32" s="387"/>
      <c r="AQ32" s="387"/>
      <c r="AR32" s="48"/>
      <c r="AS32" s="129"/>
    </row>
    <row r="33" spans="1:45" s="59" customFormat="1" ht="21.75" customHeight="1">
      <c r="A33" s="387"/>
      <c r="B33" s="388"/>
      <c r="C33" s="389"/>
      <c r="D33" s="389"/>
      <c r="E33" s="389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6"/>
      <c r="AM33" s="396"/>
      <c r="AN33" s="387"/>
      <c r="AO33" s="387"/>
      <c r="AP33" s="387"/>
      <c r="AQ33" s="387"/>
      <c r="AR33" s="48"/>
      <c r="AS33" s="129"/>
    </row>
    <row r="34" spans="1:45" s="59" customFormat="1" ht="21.75" customHeight="1">
      <c r="A34" s="387"/>
      <c r="B34" s="388"/>
      <c r="C34" s="389"/>
      <c r="D34" s="389"/>
      <c r="E34" s="389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87"/>
      <c r="AO34" s="387"/>
      <c r="AP34" s="387"/>
      <c r="AQ34" s="387"/>
      <c r="AR34" s="48"/>
      <c r="AS34" s="129"/>
    </row>
    <row r="35" spans="1:45" s="59" customFormat="1" ht="21.75" customHeight="1">
      <c r="A35" s="387"/>
      <c r="B35" s="388"/>
      <c r="C35" s="389"/>
      <c r="D35" s="389"/>
      <c r="E35" s="389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  <c r="AA35" s="396"/>
      <c r="AB35" s="396"/>
      <c r="AC35" s="396"/>
      <c r="AD35" s="396"/>
      <c r="AE35" s="396"/>
      <c r="AF35" s="396"/>
      <c r="AG35" s="396"/>
      <c r="AH35" s="396"/>
      <c r="AI35" s="396"/>
      <c r="AJ35" s="396"/>
      <c r="AK35" s="396"/>
      <c r="AL35" s="396"/>
      <c r="AM35" s="396"/>
      <c r="AN35" s="387"/>
      <c r="AO35" s="387"/>
      <c r="AP35" s="387"/>
      <c r="AQ35" s="387"/>
      <c r="AR35" s="48"/>
      <c r="AS35" s="129"/>
    </row>
    <row r="36" spans="1:45" s="59" customFormat="1" ht="21.75" customHeight="1">
      <c r="A36" s="387"/>
      <c r="B36" s="388"/>
      <c r="C36" s="389"/>
      <c r="D36" s="389"/>
      <c r="E36" s="389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  <c r="AA36" s="396"/>
      <c r="AB36" s="396"/>
      <c r="AC36" s="396"/>
      <c r="AD36" s="396"/>
      <c r="AE36" s="396"/>
      <c r="AF36" s="396"/>
      <c r="AG36" s="396"/>
      <c r="AH36" s="396"/>
      <c r="AI36" s="396"/>
      <c r="AJ36" s="396"/>
      <c r="AK36" s="396"/>
      <c r="AL36" s="396"/>
      <c r="AM36" s="396"/>
      <c r="AN36" s="387"/>
      <c r="AO36" s="387"/>
      <c r="AP36" s="387"/>
      <c r="AQ36" s="387"/>
      <c r="AR36" s="48"/>
      <c r="AS36" s="129"/>
    </row>
    <row r="37" spans="1:45" s="59" customFormat="1" ht="21.75" customHeight="1">
      <c r="A37" s="387"/>
      <c r="B37" s="388"/>
      <c r="C37" s="389"/>
      <c r="D37" s="389"/>
      <c r="E37" s="389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87"/>
      <c r="AO37" s="387"/>
      <c r="AP37" s="387"/>
      <c r="AQ37" s="387"/>
      <c r="AR37" s="48"/>
      <c r="AS37" s="129"/>
    </row>
    <row r="38" spans="1:45" s="59" customFormat="1" ht="21.75" customHeight="1">
      <c r="A38" s="387"/>
      <c r="B38" s="388"/>
      <c r="C38" s="389"/>
      <c r="D38" s="389"/>
      <c r="E38" s="389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87"/>
      <c r="AO38" s="387"/>
      <c r="AP38" s="387"/>
      <c r="AQ38" s="387"/>
      <c r="AR38" s="48"/>
      <c r="AS38" s="129"/>
    </row>
    <row r="39" spans="1:45" s="59" customFormat="1" ht="21.75" customHeight="1">
      <c r="A39" s="387"/>
      <c r="B39" s="388"/>
      <c r="C39" s="389"/>
      <c r="D39" s="389"/>
      <c r="E39" s="389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  <c r="AA39" s="396"/>
      <c r="AB39" s="396"/>
      <c r="AC39" s="396"/>
      <c r="AD39" s="396"/>
      <c r="AE39" s="396"/>
      <c r="AF39" s="396"/>
      <c r="AG39" s="396"/>
      <c r="AH39" s="396"/>
      <c r="AI39" s="396"/>
      <c r="AJ39" s="396"/>
      <c r="AK39" s="396"/>
      <c r="AL39" s="396"/>
      <c r="AM39" s="396"/>
      <c r="AN39" s="387"/>
      <c r="AO39" s="387"/>
      <c r="AP39" s="387"/>
      <c r="AQ39" s="387"/>
      <c r="AR39" s="48"/>
      <c r="AS39" s="129"/>
    </row>
    <row r="40" spans="1:45" s="59" customFormat="1" ht="21.75" customHeight="1">
      <c r="A40" s="387"/>
      <c r="B40" s="388"/>
      <c r="C40" s="389"/>
      <c r="D40" s="389"/>
      <c r="E40" s="389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87"/>
      <c r="AO40" s="387"/>
      <c r="AP40" s="387"/>
      <c r="AQ40" s="387"/>
      <c r="AR40" s="48"/>
      <c r="AS40" s="129"/>
    </row>
    <row r="41" spans="1:45" s="59" customFormat="1" ht="21" customHeight="1" thickBot="1">
      <c r="A41" s="137"/>
      <c r="B41" s="137"/>
      <c r="C41" s="62"/>
      <c r="D41" s="103"/>
      <c r="E41" s="103"/>
      <c r="AN41" s="270"/>
      <c r="AO41" s="270"/>
      <c r="AP41" s="270"/>
    </row>
    <row r="42" spans="1:45" ht="20.25" customHeight="1">
      <c r="A42" s="58"/>
      <c r="B42" s="58"/>
      <c r="C42" s="377" t="s">
        <v>45</v>
      </c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80"/>
      <c r="W42" s="379"/>
      <c r="X42" s="379"/>
      <c r="Y42" s="379"/>
      <c r="Z42" s="379"/>
      <c r="AA42" s="379"/>
      <c r="AB42" s="380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O42" s="54"/>
      <c r="AP42" s="54"/>
    </row>
    <row r="43" spans="1:45" ht="20.25" customHeight="1">
      <c r="C43" s="420" t="s">
        <v>14</v>
      </c>
      <c r="D43" s="413" t="s">
        <v>152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334"/>
      <c r="W43" s="285"/>
      <c r="X43" s="285"/>
      <c r="Y43" s="285"/>
      <c r="Z43" s="285"/>
      <c r="AA43" s="285"/>
      <c r="AB43" s="334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O43" s="54"/>
      <c r="AP43" s="54"/>
    </row>
    <row r="44" spans="1:45" ht="20.25" customHeight="1">
      <c r="C44" s="276"/>
      <c r="D44" s="338" t="s">
        <v>148</v>
      </c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534"/>
      <c r="W44" s="575" t="s">
        <v>70</v>
      </c>
      <c r="X44" s="575"/>
      <c r="Y44" s="575"/>
      <c r="Z44" s="575"/>
      <c r="AA44" s="285"/>
      <c r="AB44" s="334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O44" s="54"/>
      <c r="AP44" s="54"/>
    </row>
    <row r="45" spans="1:45" ht="20.25" customHeight="1">
      <c r="C45" s="214"/>
      <c r="D45" s="339" t="s">
        <v>153</v>
      </c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535"/>
      <c r="W45" s="576"/>
      <c r="X45" s="576"/>
      <c r="Y45" s="576"/>
      <c r="Z45" s="576"/>
      <c r="AA45" s="285"/>
      <c r="AB45" s="334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O45" s="54"/>
      <c r="AP45" s="54"/>
    </row>
    <row r="46" spans="1:45" ht="20.25" customHeight="1">
      <c r="C46" s="214"/>
      <c r="D46" s="338" t="s">
        <v>150</v>
      </c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534"/>
      <c r="W46" s="575" t="s">
        <v>88</v>
      </c>
      <c r="X46" s="575"/>
      <c r="Y46" s="575"/>
      <c r="Z46" s="575"/>
      <c r="AA46" s="285"/>
      <c r="AB46" s="334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O46" s="54"/>
      <c r="AP46" s="54"/>
    </row>
    <row r="47" spans="1:45" ht="20.25" customHeight="1">
      <c r="C47" s="214"/>
      <c r="D47" s="285"/>
      <c r="E47" s="285" t="s">
        <v>149</v>
      </c>
      <c r="F47" s="285"/>
      <c r="G47" s="285"/>
      <c r="H47" s="285"/>
      <c r="I47" s="285"/>
      <c r="J47" s="285"/>
      <c r="K47" s="285"/>
      <c r="L47" s="285"/>
      <c r="M47" s="285"/>
      <c r="N47" s="285"/>
      <c r="O47" s="285"/>
      <c r="P47" s="285"/>
      <c r="Q47" s="285"/>
      <c r="R47" s="285"/>
      <c r="S47" s="285"/>
      <c r="T47" s="285"/>
      <c r="U47" s="285"/>
      <c r="V47" s="334"/>
      <c r="W47" s="653"/>
      <c r="X47" s="653"/>
      <c r="Y47" s="653"/>
      <c r="Z47" s="653"/>
      <c r="AA47" s="285"/>
      <c r="AB47" s="334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O47" s="54"/>
      <c r="AP47" s="54"/>
    </row>
    <row r="48" spans="1:45" ht="20.25" customHeight="1">
      <c r="C48" s="214"/>
      <c r="D48" s="339"/>
      <c r="E48" s="339" t="s">
        <v>151</v>
      </c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535"/>
      <c r="W48" s="576"/>
      <c r="X48" s="576"/>
      <c r="Y48" s="576"/>
      <c r="Z48" s="576"/>
      <c r="AA48" s="285"/>
      <c r="AB48" s="334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O48" s="54"/>
      <c r="AP48" s="54"/>
    </row>
    <row r="49" spans="3:42" ht="20.25" customHeight="1">
      <c r="C49" s="214"/>
      <c r="D49" s="338" t="s">
        <v>154</v>
      </c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534"/>
      <c r="W49" s="575" t="s">
        <v>74</v>
      </c>
      <c r="X49" s="575"/>
      <c r="Y49" s="575"/>
      <c r="Z49" s="575"/>
      <c r="AA49" s="285"/>
      <c r="AB49" s="334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O49" s="54"/>
      <c r="AP49" s="54"/>
    </row>
    <row r="50" spans="3:42" ht="20.25" customHeight="1">
      <c r="C50" s="214"/>
      <c r="D50" s="339" t="s">
        <v>155</v>
      </c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535"/>
      <c r="W50" s="576"/>
      <c r="X50" s="576"/>
      <c r="Y50" s="576"/>
      <c r="Z50" s="576"/>
      <c r="AA50" s="285"/>
      <c r="AB50" s="334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O50" s="54"/>
      <c r="AP50" s="54"/>
    </row>
    <row r="51" spans="3:42" ht="20.25" customHeight="1">
      <c r="C51" s="214"/>
      <c r="D51" s="285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334"/>
      <c r="W51" s="285"/>
      <c r="X51" s="285"/>
      <c r="Y51" s="285"/>
      <c r="Z51" s="285"/>
      <c r="AA51" s="285"/>
      <c r="AB51" s="334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O51" s="54"/>
      <c r="AP51" s="54"/>
    </row>
    <row r="52" spans="3:42" ht="20.25" customHeight="1">
      <c r="C52" s="276"/>
      <c r="D52" s="413" t="s">
        <v>156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410"/>
      <c r="W52" s="55"/>
      <c r="X52" s="55"/>
      <c r="Y52" s="55"/>
      <c r="Z52" s="55"/>
      <c r="AA52" s="55"/>
      <c r="AB52" s="410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O52" s="54"/>
      <c r="AP52" s="54"/>
    </row>
    <row r="53" spans="3:42" ht="20.25" customHeight="1">
      <c r="C53" s="276"/>
      <c r="D53" s="415" t="s">
        <v>157</v>
      </c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534"/>
      <c r="W53" s="575" t="s">
        <v>70</v>
      </c>
      <c r="X53" s="575"/>
      <c r="Y53" s="575"/>
      <c r="Z53" s="575"/>
      <c r="AA53" s="285"/>
      <c r="AB53" s="334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O53" s="54"/>
      <c r="AP53" s="54"/>
    </row>
    <row r="54" spans="3:42" ht="20.25" customHeight="1">
      <c r="C54" s="276"/>
      <c r="D54" s="416" t="s">
        <v>159</v>
      </c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535"/>
      <c r="W54" s="576"/>
      <c r="X54" s="576"/>
      <c r="Y54" s="576"/>
      <c r="Z54" s="576"/>
      <c r="AA54" s="285"/>
      <c r="AB54" s="334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O54" s="54"/>
      <c r="AP54" s="54"/>
    </row>
    <row r="55" spans="3:42" ht="20.25" customHeight="1">
      <c r="C55" s="276"/>
      <c r="D55" s="417" t="s">
        <v>158</v>
      </c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536"/>
      <c r="W55" s="654" t="s">
        <v>88</v>
      </c>
      <c r="X55" s="654"/>
      <c r="Y55" s="654"/>
      <c r="Z55" s="654"/>
      <c r="AA55" s="285"/>
      <c r="AB55" s="334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O55" s="54"/>
      <c r="AP55" s="54"/>
    </row>
    <row r="56" spans="3:42" ht="20.25" customHeight="1">
      <c r="C56" s="276"/>
      <c r="D56" s="415" t="s">
        <v>160</v>
      </c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534"/>
      <c r="W56" s="575" t="s">
        <v>74</v>
      </c>
      <c r="X56" s="575"/>
      <c r="Y56" s="575"/>
      <c r="Z56" s="575"/>
      <c r="AA56" s="285"/>
      <c r="AB56" s="334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O56" s="54"/>
      <c r="AP56" s="54"/>
    </row>
    <row r="57" spans="3:42" ht="20.25" customHeight="1">
      <c r="C57" s="276"/>
      <c r="D57" s="416" t="s">
        <v>161</v>
      </c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535"/>
      <c r="W57" s="576"/>
      <c r="X57" s="576"/>
      <c r="Y57" s="576"/>
      <c r="Z57" s="576"/>
      <c r="AA57" s="285"/>
      <c r="AB57" s="334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O57" s="54"/>
      <c r="AP57" s="54"/>
    </row>
    <row r="58" spans="3:42" ht="20.25" customHeight="1">
      <c r="C58" s="276"/>
      <c r="D58" s="414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334"/>
      <c r="W58" s="285"/>
      <c r="X58" s="285"/>
      <c r="Y58" s="285"/>
      <c r="Z58" s="285"/>
      <c r="AA58" s="285"/>
      <c r="AB58" s="334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O58" s="54"/>
      <c r="AP58" s="54"/>
    </row>
    <row r="59" spans="3:42" ht="20.25" customHeight="1">
      <c r="C59" s="276"/>
      <c r="D59" s="413" t="s">
        <v>162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  <c r="S59" s="285"/>
      <c r="T59" s="285"/>
      <c r="U59" s="285"/>
      <c r="V59" s="334"/>
      <c r="W59" s="285"/>
      <c r="X59" s="285"/>
      <c r="Y59" s="285"/>
      <c r="Z59" s="285"/>
      <c r="AA59" s="285"/>
      <c r="AB59" s="334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O59" s="54"/>
      <c r="AP59" s="54"/>
    </row>
    <row r="60" spans="3:42" ht="20.25" customHeight="1">
      <c r="C60" s="276"/>
      <c r="D60" s="285" t="s">
        <v>163</v>
      </c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85"/>
      <c r="T60" s="285"/>
      <c r="U60" s="285"/>
      <c r="V60" s="334"/>
      <c r="W60" s="285" t="s">
        <v>70</v>
      </c>
      <c r="X60" s="285"/>
      <c r="Y60" s="285"/>
      <c r="Z60" s="285"/>
      <c r="AA60" s="285"/>
      <c r="AB60" s="334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O60" s="54"/>
      <c r="AP60" s="54"/>
    </row>
    <row r="61" spans="3:42" ht="20.25" customHeight="1">
      <c r="C61" s="276"/>
      <c r="D61" s="285" t="s">
        <v>164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5"/>
      <c r="P61" s="285"/>
      <c r="Q61" s="285"/>
      <c r="R61" s="285"/>
      <c r="S61" s="285"/>
      <c r="T61" s="285"/>
      <c r="U61" s="285"/>
      <c r="V61" s="334"/>
      <c r="W61" s="285" t="s">
        <v>74</v>
      </c>
      <c r="X61" s="285"/>
      <c r="Y61" s="285"/>
      <c r="Z61" s="285"/>
      <c r="AA61" s="285"/>
      <c r="AB61" s="334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O61" s="54"/>
      <c r="AP61" s="54"/>
    </row>
    <row r="62" spans="3:42" ht="20.25" customHeight="1">
      <c r="C62" s="276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5"/>
      <c r="S62" s="285"/>
      <c r="T62" s="285"/>
      <c r="U62" s="285"/>
      <c r="V62" s="334"/>
      <c r="W62" s="285"/>
      <c r="X62" s="285"/>
      <c r="Y62" s="285"/>
      <c r="Z62" s="285"/>
      <c r="AA62" s="285"/>
      <c r="AB62" s="334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O62" s="54"/>
      <c r="AP62" s="54"/>
    </row>
    <row r="63" spans="3:42" ht="20.25" customHeight="1">
      <c r="C63" s="420" t="s">
        <v>30</v>
      </c>
      <c r="D63" s="285" t="s">
        <v>165</v>
      </c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334"/>
      <c r="W63" s="285" t="s">
        <v>71</v>
      </c>
      <c r="X63" s="285"/>
      <c r="Y63" s="285"/>
      <c r="Z63" s="285"/>
      <c r="AA63" s="285"/>
      <c r="AB63" s="334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O63" s="54"/>
      <c r="AP63" s="54"/>
    </row>
    <row r="64" spans="3:42" ht="20.25" customHeight="1">
      <c r="C64" s="276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285"/>
      <c r="Q64" s="285"/>
      <c r="R64" s="285"/>
      <c r="S64" s="285"/>
      <c r="T64" s="285"/>
      <c r="U64" s="285"/>
      <c r="V64" s="334"/>
      <c r="W64" s="285"/>
      <c r="X64" s="285"/>
      <c r="Y64" s="285"/>
      <c r="Z64" s="285"/>
      <c r="AA64" s="285"/>
      <c r="AB64" s="334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O64" s="54"/>
      <c r="AP64" s="54"/>
    </row>
    <row r="65" spans="1:42" ht="20.25" customHeight="1" thickBot="1">
      <c r="C65" s="56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35"/>
      <c r="W65" s="328"/>
      <c r="X65" s="328"/>
      <c r="Y65" s="328"/>
      <c r="Z65" s="328"/>
      <c r="AA65" s="328"/>
      <c r="AB65" s="33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O65" s="54"/>
      <c r="AP65" s="54"/>
    </row>
    <row r="66" spans="1:42" s="59" customFormat="1" ht="20.100000000000001" customHeight="1">
      <c r="A66" s="63"/>
      <c r="B66" s="63"/>
      <c r="C66" s="63"/>
      <c r="D66" s="64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93"/>
      <c r="AO66" s="93"/>
      <c r="AP66" s="216"/>
    </row>
    <row r="67" spans="1:42" s="59" customFormat="1" ht="20.100000000000001" customHeight="1">
      <c r="A67" s="112"/>
      <c r="B67" s="112"/>
      <c r="C67" s="63"/>
      <c r="D67" s="63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93"/>
      <c r="AO67" s="93"/>
      <c r="AP67" s="216"/>
    </row>
    <row r="68" spans="1:42" s="59" customFormat="1" ht="21" customHeight="1">
      <c r="A68" s="137"/>
      <c r="B68" s="137"/>
      <c r="C68" s="62"/>
      <c r="D68" s="103"/>
      <c r="E68" s="103"/>
      <c r="AN68" s="93"/>
      <c r="AO68" s="93"/>
      <c r="AP68" s="216"/>
    </row>
    <row r="69" spans="1:42" s="59" customFormat="1" ht="21" customHeight="1">
      <c r="A69" s="137" t="s">
        <v>7</v>
      </c>
      <c r="B69" s="458">
        <v>2</v>
      </c>
      <c r="C69" s="62"/>
      <c r="D69" s="103"/>
      <c r="E69" s="103"/>
      <c r="AN69" s="270"/>
      <c r="AO69" s="270"/>
      <c r="AP69" s="270"/>
    </row>
    <row r="70" spans="1:42" s="59" customFormat="1" ht="21" customHeight="1">
      <c r="A70" s="137" t="s">
        <v>8</v>
      </c>
      <c r="B70" s="458">
        <v>29</v>
      </c>
      <c r="C70" s="62"/>
      <c r="D70" s="103"/>
      <c r="E70" s="103"/>
      <c r="AN70" s="270"/>
      <c r="AO70" s="270"/>
      <c r="AP70" s="270"/>
    </row>
    <row r="71" spans="1:42" s="59" customFormat="1" ht="21" customHeight="1">
      <c r="A71" s="137" t="s">
        <v>9</v>
      </c>
      <c r="B71" s="458">
        <v>8</v>
      </c>
      <c r="C71" s="62"/>
      <c r="D71" s="103"/>
      <c r="E71" s="103"/>
      <c r="AN71" s="270"/>
      <c r="AO71" s="270"/>
      <c r="AP71" s="270"/>
    </row>
    <row r="72" spans="1:42" s="59" customFormat="1" ht="21" customHeight="1">
      <c r="A72" s="137" t="s">
        <v>10</v>
      </c>
      <c r="B72" s="458">
        <v>1</v>
      </c>
      <c r="C72" s="62"/>
      <c r="D72" s="103"/>
      <c r="E72" s="103"/>
      <c r="AN72" s="270"/>
      <c r="AO72" s="270"/>
      <c r="AP72" s="270"/>
    </row>
    <row r="73" spans="1:42" s="59" customFormat="1" ht="21" customHeight="1">
      <c r="A73" s="137" t="s">
        <v>11</v>
      </c>
      <c r="B73" s="457">
        <v>7</v>
      </c>
      <c r="C73" s="62" t="s">
        <v>205</v>
      </c>
      <c r="D73" s="103"/>
      <c r="E73" s="103"/>
      <c r="AN73" s="270"/>
      <c r="AO73" s="270"/>
      <c r="AP73" s="270"/>
    </row>
    <row r="74" spans="1:42" s="59" customFormat="1" ht="21" customHeight="1">
      <c r="A74" s="137" t="s">
        <v>12</v>
      </c>
      <c r="B74" s="458">
        <v>11</v>
      </c>
      <c r="C74" s="62"/>
      <c r="D74" s="103"/>
      <c r="E74" s="103"/>
      <c r="AN74" s="270"/>
      <c r="AO74" s="270"/>
      <c r="AP74" s="270"/>
    </row>
    <row r="75" spans="1:42" s="59" customFormat="1" ht="21" customHeight="1">
      <c r="A75" s="137" t="s">
        <v>13</v>
      </c>
      <c r="B75" s="457">
        <v>2</v>
      </c>
      <c r="C75" s="62" t="s">
        <v>204</v>
      </c>
      <c r="D75" s="103"/>
      <c r="E75" s="103"/>
      <c r="AN75" s="270"/>
      <c r="AO75" s="270"/>
      <c r="AP75" s="270"/>
    </row>
    <row r="76" spans="1:42" s="59" customFormat="1" ht="21" customHeight="1">
      <c r="A76" s="137"/>
      <c r="B76" s="457">
        <f>SUM(B69:B75)</f>
        <v>60</v>
      </c>
      <c r="C76" s="62">
        <f>B16+B22+B29</f>
        <v>60</v>
      </c>
      <c r="D76" s="103"/>
      <c r="E76" s="103"/>
      <c r="AN76" s="270"/>
      <c r="AO76" s="270"/>
      <c r="AP76" s="270"/>
    </row>
    <row r="77" spans="1:42" s="59" customFormat="1" ht="21" customHeight="1">
      <c r="A77" s="137"/>
      <c r="B77" s="457"/>
      <c r="C77" s="62"/>
      <c r="D77" s="103"/>
      <c r="E77" s="103"/>
      <c r="AN77" s="270"/>
      <c r="AO77" s="270"/>
      <c r="AP77" s="270"/>
    </row>
    <row r="78" spans="1:42" s="59" customFormat="1" ht="21" customHeight="1">
      <c r="A78" s="137"/>
      <c r="B78" s="137"/>
      <c r="C78" s="62"/>
      <c r="D78" s="103"/>
      <c r="E78" s="103"/>
      <c r="AN78" s="270"/>
      <c r="AO78" s="270"/>
      <c r="AP78" s="270"/>
    </row>
    <row r="79" spans="1:42" s="59" customFormat="1" ht="21" customHeight="1">
      <c r="A79" s="137"/>
      <c r="B79" s="137"/>
      <c r="C79" s="62"/>
      <c r="D79" s="103"/>
      <c r="E79" s="103"/>
      <c r="AN79" s="270"/>
      <c r="AO79" s="270"/>
      <c r="AP79" s="270"/>
    </row>
    <row r="80" spans="1:42" s="59" customFormat="1" ht="21" customHeight="1">
      <c r="A80" s="137"/>
      <c r="B80" s="137"/>
      <c r="C80" s="62"/>
      <c r="D80" s="103"/>
      <c r="E80" s="103"/>
      <c r="AN80" s="270"/>
      <c r="AO80" s="270"/>
      <c r="AP80" s="270"/>
    </row>
    <row r="81" ht="25.5" customHeight="1"/>
    <row r="82" ht="25.5" customHeight="1"/>
    <row r="83" ht="18" customHeight="1"/>
    <row r="84" ht="18" customHeight="1"/>
  </sheetData>
  <mergeCells count="79">
    <mergeCell ref="AC7:AC8"/>
    <mergeCell ref="X7:X8"/>
    <mergeCell ref="AH7:AH8"/>
    <mergeCell ref="O7:O8"/>
    <mergeCell ref="P7:P8"/>
    <mergeCell ref="Q7:Q8"/>
    <mergeCell ref="R7:R8"/>
    <mergeCell ref="W7:W8"/>
    <mergeCell ref="V7:V8"/>
    <mergeCell ref="S7:S8"/>
    <mergeCell ref="T7:T8"/>
    <mergeCell ref="U7:U8"/>
    <mergeCell ref="AF7:AF8"/>
    <mergeCell ref="Z7:Z8"/>
    <mergeCell ref="Y7:Y8"/>
    <mergeCell ref="AE7:AE8"/>
    <mergeCell ref="AB7:AB8"/>
    <mergeCell ref="AA7:AA8"/>
    <mergeCell ref="A4:A8"/>
    <mergeCell ref="C6:D6"/>
    <mergeCell ref="AN7:AN8"/>
    <mergeCell ref="B4:B8"/>
    <mergeCell ref="C7:C8"/>
    <mergeCell ref="G6:H6"/>
    <mergeCell ref="K7:K8"/>
    <mergeCell ref="L7:L8"/>
    <mergeCell ref="G7:G8"/>
    <mergeCell ref="H7:H8"/>
    <mergeCell ref="I7:I8"/>
    <mergeCell ref="J7:J8"/>
    <mergeCell ref="M7:M8"/>
    <mergeCell ref="N7:N8"/>
    <mergeCell ref="AG7:AG8"/>
    <mergeCell ref="AD7:AD8"/>
    <mergeCell ref="C4:F5"/>
    <mergeCell ref="K5:N5"/>
    <mergeCell ref="O5:R5"/>
    <mergeCell ref="O6:P6"/>
    <mergeCell ref="Q6:R6"/>
    <mergeCell ref="K4:R4"/>
    <mergeCell ref="K6:L6"/>
    <mergeCell ref="M6:N6"/>
    <mergeCell ref="E6:F6"/>
    <mergeCell ref="I6:J6"/>
    <mergeCell ref="D7:D8"/>
    <mergeCell ref="E7:E8"/>
    <mergeCell ref="F7:F8"/>
    <mergeCell ref="G4:J5"/>
    <mergeCell ref="S5:V5"/>
    <mergeCell ref="A1:AM1"/>
    <mergeCell ref="A2:AM2"/>
    <mergeCell ref="AI4:AM5"/>
    <mergeCell ref="AI6:AK6"/>
    <mergeCell ref="AL6:AM6"/>
    <mergeCell ref="W4:AH4"/>
    <mergeCell ref="W5:AB5"/>
    <mergeCell ref="AC5:AH5"/>
    <mergeCell ref="W6:Z6"/>
    <mergeCell ref="AA6:AB6"/>
    <mergeCell ref="AC6:AF6"/>
    <mergeCell ref="AG6:AH6"/>
    <mergeCell ref="S4:V4"/>
    <mergeCell ref="S6:T6"/>
    <mergeCell ref="U6:V6"/>
    <mergeCell ref="AN4:AQ5"/>
    <mergeCell ref="AQ6:AQ8"/>
    <mergeCell ref="AO7:AP7"/>
    <mergeCell ref="AN6:AP6"/>
    <mergeCell ref="AI7:AI8"/>
    <mergeCell ref="AJ7:AJ8"/>
    <mergeCell ref="AK7:AK8"/>
    <mergeCell ref="AL7:AL8"/>
    <mergeCell ref="AM7:AM8"/>
    <mergeCell ref="W56:Z57"/>
    <mergeCell ref="W44:Z45"/>
    <mergeCell ref="W46:Z48"/>
    <mergeCell ref="W49:Z50"/>
    <mergeCell ref="W53:Z54"/>
    <mergeCell ref="W55:Z55"/>
  </mergeCells>
  <printOptions horizontalCentered="1"/>
  <pageMargins left="0" right="0" top="0" bottom="0" header="0.31496062992125984" footer="0.19685039370078741"/>
  <pageSetup paperSize="5" scale="65" orientation="landscape" r:id="rId1"/>
  <headerFooter alignWithMargins="0">
    <oddFooter>&amp;C&amp;8&amp;Z&amp;F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43"/>
  <sheetViews>
    <sheetView workbookViewId="0">
      <selection activeCell="M14" sqref="M14"/>
    </sheetView>
  </sheetViews>
  <sheetFormatPr defaultRowHeight="27.75" customHeight="1"/>
  <cols>
    <col min="1" max="1" width="8.5703125" style="54" customWidth="1"/>
    <col min="2" max="2" width="6.140625" style="54" customWidth="1"/>
    <col min="3" max="3" width="6.28515625" style="54" customWidth="1"/>
    <col min="4" max="4" width="6.140625" style="54" customWidth="1"/>
    <col min="5" max="5" width="7.42578125" style="54" customWidth="1"/>
    <col min="6" max="6" width="5.5703125" style="54" customWidth="1"/>
    <col min="7" max="7" width="5.42578125" style="54" customWidth="1"/>
    <col min="8" max="9" width="5.7109375" style="54" customWidth="1"/>
    <col min="10" max="10" width="5.42578125" style="54" customWidth="1"/>
    <col min="11" max="11" width="5.85546875" style="54" customWidth="1"/>
    <col min="12" max="12" width="6" style="54" customWidth="1"/>
    <col min="13" max="13" width="6.5703125" style="54" customWidth="1"/>
    <col min="14" max="14" width="4.7109375" style="54" customWidth="1"/>
    <col min="15" max="16" width="5.42578125" style="54" customWidth="1"/>
    <col min="17" max="17" width="5.85546875" style="54" customWidth="1"/>
    <col min="18" max="18" width="5.7109375" style="54" customWidth="1"/>
    <col min="19" max="19" width="7.140625" style="54" customWidth="1"/>
    <col min="20" max="20" width="4.85546875" style="54" customWidth="1"/>
    <col min="21" max="21" width="6" style="54" customWidth="1"/>
    <col min="22" max="22" width="5.42578125" style="54" customWidth="1"/>
    <col min="23" max="23" width="6.140625" style="54" customWidth="1"/>
    <col min="24" max="24" width="5.7109375" style="54" customWidth="1"/>
    <col min="25" max="26" width="6.140625" style="54" customWidth="1"/>
    <col min="27" max="28" width="5.42578125" style="54" customWidth="1"/>
    <col min="29" max="29" width="5.5703125" style="54" customWidth="1"/>
    <col min="30" max="30" width="7.5703125" style="54" customWidth="1"/>
    <col min="31" max="31" width="5.42578125" style="54" customWidth="1"/>
    <col min="32" max="32" width="7.7109375" style="54" customWidth="1"/>
    <col min="33" max="33" width="9.5703125" style="54" customWidth="1"/>
    <col min="34" max="34" width="9.140625" style="54" customWidth="1"/>
    <col min="35" max="35" width="6.5703125" style="54" customWidth="1"/>
    <col min="36" max="16384" width="9.140625" style="54"/>
  </cols>
  <sheetData>
    <row r="1" spans="1:41" ht="25.5" customHeight="1">
      <c r="A1" s="562" t="str">
        <f>'(PD-RD1)_พัฒนาภูมิปัญญาฯ'!A1:Z1</f>
        <v>รายละเอียดแผนการปฏิบัติงานและความก้าวหน้าผลการปฏิบัติงาน ณ วันที่  31  มกราคม 2559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2"/>
      <c r="AE1" s="562"/>
      <c r="AF1" s="562"/>
      <c r="AG1" s="96"/>
      <c r="AH1" s="96"/>
      <c r="AI1" s="96"/>
    </row>
    <row r="2" spans="1:41" ht="22.5" customHeight="1">
      <c r="A2" s="562" t="s">
        <v>0</v>
      </c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  <c r="O2" s="562"/>
      <c r="P2" s="562"/>
      <c r="Q2" s="562"/>
      <c r="R2" s="562"/>
      <c r="S2" s="562"/>
      <c r="T2" s="562"/>
      <c r="U2" s="562"/>
      <c r="V2" s="562"/>
      <c r="W2" s="562"/>
      <c r="X2" s="562"/>
      <c r="Y2" s="562"/>
      <c r="Z2" s="562"/>
      <c r="AA2" s="562"/>
      <c r="AB2" s="562"/>
      <c r="AC2" s="562"/>
      <c r="AD2" s="562"/>
      <c r="AE2" s="562"/>
      <c r="AF2" s="562"/>
      <c r="AG2" s="96"/>
      <c r="AH2" s="96"/>
      <c r="AI2" s="96"/>
    </row>
    <row r="3" spans="1:41" s="59" customFormat="1" ht="24" customHeight="1">
      <c r="A3" s="376" t="s">
        <v>166</v>
      </c>
      <c r="M3" s="78"/>
    </row>
    <row r="4" spans="1:41" s="59" customFormat="1" ht="37.5" customHeight="1">
      <c r="A4" s="583" t="s">
        <v>14</v>
      </c>
      <c r="B4" s="682" t="s">
        <v>81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76" t="s">
        <v>82</v>
      </c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8"/>
      <c r="AG4" s="657" t="s">
        <v>85</v>
      </c>
      <c r="AH4" s="657"/>
      <c r="AI4" s="657"/>
    </row>
    <row r="5" spans="1:41" s="59" customFormat="1" ht="45.75" customHeight="1">
      <c r="A5" s="584"/>
      <c r="B5" s="661" t="s">
        <v>167</v>
      </c>
      <c r="C5" s="662"/>
      <c r="D5" s="662"/>
      <c r="E5" s="662"/>
      <c r="F5" s="662"/>
      <c r="G5" s="663"/>
      <c r="H5" s="661" t="s">
        <v>34</v>
      </c>
      <c r="I5" s="662"/>
      <c r="J5" s="662"/>
      <c r="K5" s="662"/>
      <c r="L5" s="662"/>
      <c r="M5" s="663"/>
      <c r="N5" s="661" t="s">
        <v>35</v>
      </c>
      <c r="O5" s="662"/>
      <c r="P5" s="662"/>
      <c r="Q5" s="662"/>
      <c r="R5" s="662"/>
      <c r="S5" s="662"/>
      <c r="T5" s="662"/>
      <c r="U5" s="679" t="s">
        <v>36</v>
      </c>
      <c r="V5" s="680"/>
      <c r="W5" s="680"/>
      <c r="X5" s="680"/>
      <c r="Y5" s="680"/>
      <c r="Z5" s="681"/>
      <c r="AA5" s="679" t="s">
        <v>168</v>
      </c>
      <c r="AB5" s="680"/>
      <c r="AC5" s="680"/>
      <c r="AD5" s="680"/>
      <c r="AE5" s="680"/>
      <c r="AF5" s="681"/>
      <c r="AG5" s="657"/>
      <c r="AH5" s="657"/>
      <c r="AI5" s="657"/>
    </row>
    <row r="6" spans="1:41" s="59" customFormat="1" ht="23.25" customHeight="1">
      <c r="A6" s="584"/>
      <c r="B6" s="664" t="s">
        <v>25</v>
      </c>
      <c r="C6" s="665"/>
      <c r="D6" s="665"/>
      <c r="E6" s="666"/>
      <c r="F6" s="652" t="s">
        <v>19</v>
      </c>
      <c r="G6" s="652"/>
      <c r="H6" s="664" t="s">
        <v>25</v>
      </c>
      <c r="I6" s="665"/>
      <c r="J6" s="665"/>
      <c r="K6" s="666"/>
      <c r="L6" s="652" t="s">
        <v>19</v>
      </c>
      <c r="M6" s="652"/>
      <c r="N6" s="664" t="s">
        <v>25</v>
      </c>
      <c r="O6" s="665"/>
      <c r="P6" s="665"/>
      <c r="Q6" s="666"/>
      <c r="R6" s="596" t="s">
        <v>19</v>
      </c>
      <c r="S6" s="597"/>
      <c r="T6" s="597"/>
      <c r="U6" s="582" t="s">
        <v>25</v>
      </c>
      <c r="V6" s="582"/>
      <c r="W6" s="582"/>
      <c r="X6" s="582"/>
      <c r="Y6" s="652" t="s">
        <v>19</v>
      </c>
      <c r="Z6" s="652"/>
      <c r="AA6" s="582" t="s">
        <v>25</v>
      </c>
      <c r="AB6" s="582"/>
      <c r="AC6" s="582"/>
      <c r="AD6" s="582"/>
      <c r="AE6" s="596" t="s">
        <v>19</v>
      </c>
      <c r="AF6" s="598"/>
      <c r="AG6" s="657" t="s">
        <v>31</v>
      </c>
      <c r="AH6" s="657"/>
      <c r="AI6" s="657" t="s">
        <v>4</v>
      </c>
    </row>
    <row r="7" spans="1:41" s="59" customFormat="1" ht="23.25" customHeight="1">
      <c r="A7" s="584"/>
      <c r="B7" s="664" t="s">
        <v>1</v>
      </c>
      <c r="C7" s="665"/>
      <c r="D7" s="675" t="s">
        <v>3</v>
      </c>
      <c r="E7" s="599" t="s">
        <v>24</v>
      </c>
      <c r="F7" s="652" t="s">
        <v>20</v>
      </c>
      <c r="G7" s="652" t="s">
        <v>22</v>
      </c>
      <c r="H7" s="664" t="s">
        <v>1</v>
      </c>
      <c r="I7" s="665"/>
      <c r="J7" s="675" t="s">
        <v>3</v>
      </c>
      <c r="K7" s="599" t="s">
        <v>24</v>
      </c>
      <c r="L7" s="652" t="s">
        <v>20</v>
      </c>
      <c r="M7" s="652" t="s">
        <v>22</v>
      </c>
      <c r="N7" s="664" t="s">
        <v>1</v>
      </c>
      <c r="O7" s="665"/>
      <c r="P7" s="675" t="s">
        <v>3</v>
      </c>
      <c r="Q7" s="599" t="s">
        <v>24</v>
      </c>
      <c r="R7" s="570" t="s">
        <v>83</v>
      </c>
      <c r="S7" s="673" t="s">
        <v>27</v>
      </c>
      <c r="T7" s="570" t="s">
        <v>2</v>
      </c>
      <c r="U7" s="556" t="s">
        <v>1</v>
      </c>
      <c r="V7" s="556"/>
      <c r="W7" s="556" t="s">
        <v>3</v>
      </c>
      <c r="X7" s="650" t="s">
        <v>24</v>
      </c>
      <c r="Y7" s="652" t="s">
        <v>20</v>
      </c>
      <c r="Z7" s="652" t="s">
        <v>22</v>
      </c>
      <c r="AA7" s="556" t="s">
        <v>1</v>
      </c>
      <c r="AB7" s="556"/>
      <c r="AC7" s="556" t="s">
        <v>3</v>
      </c>
      <c r="AD7" s="650" t="s">
        <v>24</v>
      </c>
      <c r="AE7" s="570" t="s">
        <v>83</v>
      </c>
      <c r="AF7" s="570" t="s">
        <v>27</v>
      </c>
      <c r="AG7" s="274"/>
      <c r="AH7" s="274"/>
      <c r="AI7" s="657"/>
    </row>
    <row r="8" spans="1:41" s="59" customFormat="1" ht="29.25" customHeight="1">
      <c r="A8" s="585"/>
      <c r="B8" s="273">
        <v>1</v>
      </c>
      <c r="C8" s="404">
        <v>2</v>
      </c>
      <c r="D8" s="568"/>
      <c r="E8" s="553"/>
      <c r="F8" s="652"/>
      <c r="G8" s="652"/>
      <c r="H8" s="273">
        <v>2</v>
      </c>
      <c r="I8" s="404">
        <v>3</v>
      </c>
      <c r="J8" s="568"/>
      <c r="K8" s="553"/>
      <c r="L8" s="652"/>
      <c r="M8" s="652"/>
      <c r="N8" s="273">
        <v>2</v>
      </c>
      <c r="O8" s="404">
        <v>3</v>
      </c>
      <c r="P8" s="568"/>
      <c r="Q8" s="553"/>
      <c r="R8" s="571"/>
      <c r="S8" s="674"/>
      <c r="T8" s="571"/>
      <c r="U8" s="273">
        <v>1</v>
      </c>
      <c r="V8" s="273">
        <v>2</v>
      </c>
      <c r="W8" s="556"/>
      <c r="X8" s="650"/>
      <c r="Y8" s="652"/>
      <c r="Z8" s="652"/>
      <c r="AA8" s="273">
        <v>2</v>
      </c>
      <c r="AB8" s="273">
        <v>3</v>
      </c>
      <c r="AC8" s="556"/>
      <c r="AD8" s="650"/>
      <c r="AE8" s="571"/>
      <c r="AF8" s="571"/>
      <c r="AG8" s="274" t="s">
        <v>32</v>
      </c>
      <c r="AH8" s="274" t="s">
        <v>16</v>
      </c>
      <c r="AI8" s="657"/>
    </row>
    <row r="9" spans="1:41" s="59" customFormat="1" ht="26.25" customHeight="1">
      <c r="A9" s="381" t="s">
        <v>10</v>
      </c>
      <c r="B9" s="9">
        <f>0+0+84</f>
        <v>84</v>
      </c>
      <c r="C9" s="9"/>
      <c r="D9" s="9">
        <f>SUM(B9:C9)</f>
        <v>84</v>
      </c>
      <c r="E9" s="382">
        <f>B9</f>
        <v>84</v>
      </c>
      <c r="F9" s="45">
        <v>84</v>
      </c>
      <c r="G9" s="33">
        <f>F9*100/E9</f>
        <v>100</v>
      </c>
      <c r="H9" s="9">
        <f>0+0+84</f>
        <v>84</v>
      </c>
      <c r="I9" s="9"/>
      <c r="J9" s="9">
        <f>SUM(H9:I9)</f>
        <v>84</v>
      </c>
      <c r="K9" s="18"/>
      <c r="L9" s="45"/>
      <c r="M9" s="33"/>
      <c r="N9" s="9"/>
      <c r="O9" s="9">
        <f>0+0+84</f>
        <v>84</v>
      </c>
      <c r="P9" s="9">
        <f>SUM(N9:O9)</f>
        <v>84</v>
      </c>
      <c r="Q9" s="18"/>
      <c r="R9" s="204"/>
      <c r="S9" s="265"/>
      <c r="T9" s="139"/>
      <c r="U9" s="141">
        <f>0+0+17</f>
        <v>17</v>
      </c>
      <c r="V9" s="141"/>
      <c r="W9" s="141">
        <f>SUM(U9:V9)</f>
        <v>17</v>
      </c>
      <c r="X9" s="382">
        <f>U9</f>
        <v>17</v>
      </c>
      <c r="Y9" s="45">
        <v>17</v>
      </c>
      <c r="Z9" s="533">
        <f>Y9*100/X9</f>
        <v>100</v>
      </c>
      <c r="AA9" s="455"/>
      <c r="AB9" s="9">
        <f>0+0+17</f>
        <v>17</v>
      </c>
      <c r="AC9" s="9">
        <f>SUM(AA9:AB9)</f>
        <v>17</v>
      </c>
      <c r="AD9" s="18"/>
      <c r="AE9" s="204"/>
      <c r="AF9" s="139"/>
      <c r="AG9" s="222">
        <v>21702</v>
      </c>
      <c r="AH9" s="130">
        <v>9</v>
      </c>
      <c r="AI9" s="23">
        <v>9</v>
      </c>
      <c r="AL9" s="63"/>
      <c r="AM9" s="63"/>
      <c r="AN9" s="63"/>
      <c r="AO9" s="63"/>
    </row>
    <row r="10" spans="1:41" s="99" customFormat="1" ht="26.25" customHeight="1">
      <c r="A10" s="100" t="s">
        <v>12</v>
      </c>
      <c r="B10" s="10">
        <f>0+0+60</f>
        <v>60</v>
      </c>
      <c r="C10" s="10"/>
      <c r="D10" s="10">
        <f>SUM(B10:C10)</f>
        <v>60</v>
      </c>
      <c r="E10" s="205">
        <f>B10</f>
        <v>60</v>
      </c>
      <c r="F10" s="46">
        <v>60</v>
      </c>
      <c r="G10" s="474">
        <f>F10*100/E10</f>
        <v>100</v>
      </c>
      <c r="H10" s="10">
        <f>0+0+60</f>
        <v>60</v>
      </c>
      <c r="I10" s="10"/>
      <c r="J10" s="10">
        <f>SUM(H10:I10)</f>
        <v>60</v>
      </c>
      <c r="K10" s="205"/>
      <c r="L10" s="46"/>
      <c r="M10" s="17"/>
      <c r="N10" s="10"/>
      <c r="O10" s="10">
        <f>0+0+60</f>
        <v>60</v>
      </c>
      <c r="P10" s="10">
        <f>SUM(N10:O10)</f>
        <v>60</v>
      </c>
      <c r="Q10" s="205"/>
      <c r="R10" s="32"/>
      <c r="S10" s="90"/>
      <c r="T10" s="73"/>
      <c r="U10" s="10">
        <f>0+0+12</f>
        <v>12</v>
      </c>
      <c r="V10" s="10"/>
      <c r="W10" s="10">
        <f>SUM(U10:V10)</f>
        <v>12</v>
      </c>
      <c r="X10" s="205">
        <f>U10</f>
        <v>12</v>
      </c>
      <c r="Y10" s="46">
        <v>12</v>
      </c>
      <c r="Z10" s="17">
        <f>Y10*100/X10</f>
        <v>100</v>
      </c>
      <c r="AA10" s="10"/>
      <c r="AB10" s="10">
        <f>0+0+12</f>
        <v>12</v>
      </c>
      <c r="AC10" s="10">
        <f>SUM(AA10:AB10)</f>
        <v>12</v>
      </c>
      <c r="AD10" s="205"/>
      <c r="AE10" s="32"/>
      <c r="AF10" s="73"/>
      <c r="AG10" s="223">
        <v>21702</v>
      </c>
      <c r="AH10" s="133">
        <v>6</v>
      </c>
      <c r="AI10" s="24">
        <v>6</v>
      </c>
      <c r="AL10" s="206"/>
      <c r="AM10" s="206"/>
      <c r="AN10" s="206"/>
      <c r="AO10" s="206"/>
    </row>
    <row r="11" spans="1:41" s="59" customFormat="1" ht="27" customHeight="1">
      <c r="A11" s="74" t="s">
        <v>6</v>
      </c>
      <c r="B11" s="146">
        <f>SUM(B9:B10)</f>
        <v>144</v>
      </c>
      <c r="C11" s="146"/>
      <c r="D11" s="146">
        <f t="shared" ref="D11:E11" si="0">SUM(D9:D10)</f>
        <v>144</v>
      </c>
      <c r="E11" s="147">
        <f t="shared" si="0"/>
        <v>144</v>
      </c>
      <c r="F11" s="32">
        <f>SUM(F9:F10)</f>
        <v>144</v>
      </c>
      <c r="G11" s="32">
        <f>F11*100/E11</f>
        <v>100</v>
      </c>
      <c r="H11" s="146">
        <f>SUM(H9:H10)</f>
        <v>144</v>
      </c>
      <c r="I11" s="146"/>
      <c r="J11" s="146">
        <f t="shared" ref="J11" si="1">SUM(J9:J10)</f>
        <v>144</v>
      </c>
      <c r="K11" s="147">
        <f>SUM(K9:K10)</f>
        <v>0</v>
      </c>
      <c r="L11" s="32"/>
      <c r="M11" s="32"/>
      <c r="N11" s="146"/>
      <c r="O11" s="146">
        <f>SUM(O9:O10)</f>
        <v>144</v>
      </c>
      <c r="P11" s="146">
        <f t="shared" ref="P11" si="2">SUM(P9:P10)</f>
        <v>144</v>
      </c>
      <c r="Q11" s="147">
        <f>SUM(Q9:Q10)</f>
        <v>0</v>
      </c>
      <c r="R11" s="32"/>
      <c r="S11" s="90"/>
      <c r="T11" s="32"/>
      <c r="U11" s="146">
        <f>SUM(U9:U10)</f>
        <v>29</v>
      </c>
      <c r="V11" s="146">
        <f t="shared" ref="V11:X11" si="3">SUM(V9:V10)</f>
        <v>0</v>
      </c>
      <c r="W11" s="146">
        <f t="shared" si="3"/>
        <v>29</v>
      </c>
      <c r="X11" s="147">
        <f t="shared" si="3"/>
        <v>29</v>
      </c>
      <c r="Y11" s="32">
        <f>SUM(Y9:Y10)</f>
        <v>29</v>
      </c>
      <c r="Z11" s="32">
        <f>Y11*100/X11</f>
        <v>100</v>
      </c>
      <c r="AA11" s="146">
        <f t="shared" ref="AA11:AC11" si="4">SUM(AA9:AA10)</f>
        <v>0</v>
      </c>
      <c r="AB11" s="146">
        <f t="shared" si="4"/>
        <v>29</v>
      </c>
      <c r="AC11" s="146">
        <f t="shared" si="4"/>
        <v>29</v>
      </c>
      <c r="AD11" s="147">
        <f>SUM(AD9:AD10)</f>
        <v>0</v>
      </c>
      <c r="AE11" s="46"/>
      <c r="AF11" s="46"/>
      <c r="AG11" s="138"/>
      <c r="AH11" s="74">
        <f>SUM(AH9:AH10)</f>
        <v>15</v>
      </c>
      <c r="AI11" s="207">
        <f>SUM(AI9:AI10)</f>
        <v>15</v>
      </c>
      <c r="AL11" s="63"/>
      <c r="AM11" s="63"/>
      <c r="AN11" s="63"/>
      <c r="AO11" s="63"/>
    </row>
    <row r="12" spans="1:41" ht="33" customHeight="1">
      <c r="A12" s="80"/>
      <c r="R12" s="209"/>
      <c r="S12" s="210"/>
      <c r="Z12" s="59"/>
      <c r="AD12" s="208"/>
      <c r="AE12" s="209"/>
      <c r="AF12" s="210"/>
      <c r="AG12" s="211"/>
      <c r="AH12" s="251"/>
      <c r="AI12" s="251"/>
      <c r="AL12" s="81"/>
      <c r="AM12" s="63"/>
      <c r="AN12" s="63"/>
      <c r="AO12" s="81"/>
    </row>
    <row r="13" spans="1:41" s="465" customFormat="1" ht="25.5" customHeight="1">
      <c r="A13" s="464"/>
      <c r="B13" s="136"/>
      <c r="C13" s="136"/>
      <c r="D13" s="136"/>
      <c r="E13" s="136"/>
      <c r="F13" s="136"/>
      <c r="U13" s="136"/>
      <c r="Z13" s="136"/>
      <c r="AD13" s="466"/>
      <c r="AE13" s="466"/>
      <c r="AF13" s="466"/>
      <c r="AG13" s="466"/>
      <c r="AH13" s="466"/>
      <c r="AL13" s="467"/>
      <c r="AM13" s="467"/>
      <c r="AN13" s="468"/>
      <c r="AO13" s="467"/>
    </row>
    <row r="14" spans="1:41" s="59" customFormat="1" ht="21" customHeight="1" thickBot="1">
      <c r="B14" s="104"/>
      <c r="C14" s="101"/>
      <c r="D14" s="103"/>
      <c r="E14" s="103"/>
      <c r="F14" s="103"/>
      <c r="AD14" s="142"/>
      <c r="AE14" s="203"/>
      <c r="AF14" s="203"/>
      <c r="AG14" s="142"/>
      <c r="AH14" s="142"/>
      <c r="AL14" s="63"/>
      <c r="AM14" s="203"/>
      <c r="AN14" s="63"/>
      <c r="AO14" s="63"/>
    </row>
    <row r="15" spans="1:41" ht="23.25" customHeight="1">
      <c r="A15" s="58"/>
      <c r="B15" s="377" t="s">
        <v>169</v>
      </c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80"/>
      <c r="AC15" s="203"/>
      <c r="AD15" s="203"/>
      <c r="AE15" s="203"/>
      <c r="AF15" s="203"/>
      <c r="AJ15" s="81"/>
      <c r="AK15" s="81"/>
      <c r="AL15" s="81"/>
      <c r="AM15" s="81"/>
    </row>
    <row r="16" spans="1:41" ht="23.25" customHeight="1">
      <c r="B16" s="421" t="s">
        <v>14</v>
      </c>
      <c r="C16" s="285" t="s">
        <v>170</v>
      </c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 t="s">
        <v>104</v>
      </c>
      <c r="V16" s="285"/>
      <c r="W16" s="285"/>
      <c r="X16" s="334"/>
      <c r="AC16" s="203"/>
      <c r="AD16" s="203"/>
      <c r="AE16" s="203"/>
      <c r="AF16" s="203"/>
    </row>
    <row r="17" spans="1:32" ht="23.25" customHeight="1">
      <c r="B17" s="421"/>
      <c r="C17" s="419" t="s">
        <v>84</v>
      </c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334"/>
      <c r="AC17" s="203"/>
      <c r="AD17" s="203"/>
      <c r="AE17" s="203"/>
      <c r="AF17" s="203"/>
    </row>
    <row r="18" spans="1:32" ht="23.25" customHeight="1">
      <c r="B18" s="332"/>
      <c r="C18" s="418" t="s">
        <v>171</v>
      </c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 t="s">
        <v>70</v>
      </c>
      <c r="V18" s="418"/>
      <c r="W18" s="418"/>
      <c r="X18" s="334"/>
      <c r="AC18" s="203"/>
      <c r="AD18" s="203"/>
      <c r="AE18" s="203"/>
      <c r="AF18" s="203"/>
    </row>
    <row r="19" spans="1:32" ht="23.25" customHeight="1">
      <c r="B19" s="332"/>
      <c r="C19" s="338" t="s">
        <v>172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8"/>
      <c r="U19" s="575" t="s">
        <v>74</v>
      </c>
      <c r="V19" s="575"/>
      <c r="W19" s="575"/>
      <c r="X19" s="334"/>
    </row>
    <row r="20" spans="1:32" ht="23.25" customHeight="1">
      <c r="B20" s="332"/>
      <c r="C20" s="339" t="s">
        <v>173</v>
      </c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576"/>
      <c r="V20" s="576"/>
      <c r="W20" s="576"/>
      <c r="X20" s="334"/>
    </row>
    <row r="21" spans="1:32" ht="23.25" customHeight="1">
      <c r="B21" s="421"/>
      <c r="C21" s="419" t="s">
        <v>174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285"/>
      <c r="W21" s="285"/>
      <c r="X21" s="334"/>
    </row>
    <row r="22" spans="1:32" ht="23.25" customHeight="1">
      <c r="B22" s="332"/>
      <c r="C22" s="285" t="s">
        <v>175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 t="s">
        <v>70</v>
      </c>
      <c r="V22" s="285"/>
      <c r="W22" s="285"/>
      <c r="X22" s="334"/>
    </row>
    <row r="23" spans="1:32" ht="23.25" customHeight="1">
      <c r="B23" s="332"/>
      <c r="C23" s="285" t="s">
        <v>176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 t="s">
        <v>74</v>
      </c>
      <c r="V23" s="285"/>
      <c r="W23" s="285"/>
      <c r="X23" s="334"/>
    </row>
    <row r="24" spans="1:32" ht="10.5" customHeight="1">
      <c r="B24" s="332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334"/>
    </row>
    <row r="25" spans="1:32" ht="23.25" customHeight="1">
      <c r="B25" s="337" t="s">
        <v>30</v>
      </c>
      <c r="C25" s="285" t="s">
        <v>177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 t="s">
        <v>71</v>
      </c>
      <c r="V25" s="285"/>
      <c r="W25" s="285"/>
      <c r="X25" s="334"/>
    </row>
    <row r="26" spans="1:32" ht="23.25" customHeight="1" thickBot="1">
      <c r="B26" s="333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35"/>
    </row>
    <row r="27" spans="1:32" s="59" customFormat="1" ht="21" customHeight="1">
      <c r="A27" s="63"/>
      <c r="B27" s="108"/>
      <c r="C27" s="109"/>
      <c r="D27" s="110"/>
      <c r="E27" s="111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s="59" customFormat="1" ht="20.100000000000001" customHeight="1">
      <c r="A28" s="81"/>
      <c r="B28" s="63"/>
      <c r="C28" s="81"/>
      <c r="D28" s="81"/>
      <c r="E28" s="64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s="59" customFormat="1" ht="20.100000000000001" customHeight="1">
      <c r="A29" s="112"/>
      <c r="B29" s="63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</row>
    <row r="30" spans="1:32" s="59" customFormat="1" ht="20.100000000000001" customHeight="1">
      <c r="A30" s="81"/>
      <c r="B30" s="114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ht="20.100000000000001" customHeight="1">
      <c r="A31" s="81"/>
      <c r="B31" s="63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</row>
    <row r="32" spans="1:32" ht="20.100000000000001" customHeight="1">
      <c r="A32" s="81"/>
      <c r="B32" s="63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</row>
    <row r="33" spans="1:32" ht="20.100000000000001" customHeight="1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20.100000000000001" customHeight="1"/>
    <row r="35" spans="1:32" ht="20.100000000000001" customHeight="1"/>
    <row r="36" spans="1:32" ht="20.100000000000001" customHeight="1"/>
    <row r="37" spans="1:32" ht="20.100000000000001" customHeight="1"/>
    <row r="38" spans="1:32" ht="25.5" customHeight="1"/>
    <row r="39" spans="1:32" ht="25.5" customHeight="1"/>
    <row r="40" spans="1:32" ht="25.5" customHeight="1"/>
    <row r="41" spans="1:32" ht="25.5" customHeight="1"/>
    <row r="42" spans="1:32" ht="18" customHeight="1"/>
    <row r="43" spans="1:32" ht="18" customHeight="1"/>
  </sheetData>
  <mergeCells count="50">
    <mergeCell ref="A4:A8"/>
    <mergeCell ref="AG4:AI5"/>
    <mergeCell ref="B6:E6"/>
    <mergeCell ref="AI6:AI8"/>
    <mergeCell ref="F7:F8"/>
    <mergeCell ref="B5:G5"/>
    <mergeCell ref="H5:M5"/>
    <mergeCell ref="B4:T4"/>
    <mergeCell ref="H6:K6"/>
    <mergeCell ref="N5:T5"/>
    <mergeCell ref="N6:Q6"/>
    <mergeCell ref="R6:T6"/>
    <mergeCell ref="W7:W8"/>
    <mergeCell ref="Y7:Y8"/>
    <mergeCell ref="X7:X8"/>
    <mergeCell ref="N7:O7"/>
    <mergeCell ref="J7:J8"/>
    <mergeCell ref="AG6:AH6"/>
    <mergeCell ref="U4:AF4"/>
    <mergeCell ref="U5:Z5"/>
    <mergeCell ref="U6:X6"/>
    <mergeCell ref="AA5:AF5"/>
    <mergeCell ref="AA6:AD6"/>
    <mergeCell ref="AE6:AF6"/>
    <mergeCell ref="P7:P8"/>
    <mergeCell ref="Q7:Q8"/>
    <mergeCell ref="U7:V7"/>
    <mergeCell ref="Y6:Z6"/>
    <mergeCell ref="Z7:Z8"/>
    <mergeCell ref="G7:G8"/>
    <mergeCell ref="B7:C7"/>
    <mergeCell ref="D7:D8"/>
    <mergeCell ref="E7:E8"/>
    <mergeCell ref="H7:I7"/>
    <mergeCell ref="U19:W20"/>
    <mergeCell ref="AA7:AB7"/>
    <mergeCell ref="AC7:AC8"/>
    <mergeCell ref="AD7:AD8"/>
    <mergeCell ref="A1:AF1"/>
    <mergeCell ref="A2:AF2"/>
    <mergeCell ref="R7:R8"/>
    <mergeCell ref="S7:S8"/>
    <mergeCell ref="T7:T8"/>
    <mergeCell ref="AE7:AE8"/>
    <mergeCell ref="AF7:AF8"/>
    <mergeCell ref="K7:K8"/>
    <mergeCell ref="L6:M6"/>
    <mergeCell ref="L7:L8"/>
    <mergeCell ref="M7:M8"/>
    <mergeCell ref="F6:G6"/>
  </mergeCells>
  <printOptions horizontalCentered="1"/>
  <pageMargins left="0.11811023622047245" right="0" top="0.39370078740157483" bottom="0" header="0.31496062992125984" footer="0.19685039370078741"/>
  <pageSetup paperSize="9" scale="75" orientation="landscape" r:id="rId1"/>
  <headerFooter alignWithMargins="0">
    <oddFooter>&amp;C&amp;8&amp;Z&amp;F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3"/>
  <sheetViews>
    <sheetView workbookViewId="0">
      <selection activeCell="H9" sqref="H9"/>
    </sheetView>
  </sheetViews>
  <sheetFormatPr defaultRowHeight="27.75" customHeight="1"/>
  <cols>
    <col min="1" max="1" width="10" style="54" customWidth="1"/>
    <col min="2" max="2" width="5.85546875" style="54" customWidth="1"/>
    <col min="3" max="3" width="5.5703125" style="54" customWidth="1"/>
    <col min="4" max="4" width="6.140625" style="54" customWidth="1"/>
    <col min="5" max="5" width="5.7109375" style="54" customWidth="1"/>
    <col min="6" max="7" width="5.42578125" style="54" customWidth="1"/>
    <col min="8" max="9" width="5.28515625" style="54" customWidth="1"/>
    <col min="10" max="10" width="5.7109375" style="54" customWidth="1"/>
    <col min="11" max="11" width="5.85546875" style="54" customWidth="1"/>
    <col min="12" max="13" width="5.7109375" style="54" customWidth="1"/>
    <col min="14" max="14" width="5.140625" style="54" customWidth="1"/>
    <col min="15" max="15" width="6.5703125" style="54" customWidth="1"/>
    <col min="16" max="16" width="5.42578125" style="54" customWidth="1"/>
    <col min="17" max="17" width="7.42578125" style="54" customWidth="1"/>
    <col min="18" max="18" width="7.5703125" style="54" customWidth="1"/>
    <col min="19" max="19" width="11.7109375" style="54" customWidth="1"/>
    <col min="20" max="21" width="4.28515625" style="54" customWidth="1"/>
    <col min="22" max="22" width="5.28515625" style="54" customWidth="1"/>
    <col min="23" max="23" width="6.140625" style="54" customWidth="1"/>
    <col min="24" max="24" width="5.28515625" style="54" customWidth="1"/>
    <col min="25" max="25" width="5.5703125" style="54" customWidth="1"/>
    <col min="26" max="27" width="5" style="54" customWidth="1"/>
    <col min="28" max="28" width="5.28515625" style="54" customWidth="1"/>
    <col min="29" max="29" width="6.28515625" style="54" customWidth="1"/>
    <col min="30" max="31" width="6.140625" style="54" customWidth="1"/>
    <col min="32" max="32" width="9.42578125" style="54" customWidth="1"/>
    <col min="33" max="33" width="7.85546875" style="54" customWidth="1"/>
    <col min="34" max="34" width="7.42578125" style="54" customWidth="1"/>
    <col min="35" max="35" width="6" style="54" customWidth="1"/>
    <col min="36" max="16384" width="9.140625" style="54"/>
  </cols>
  <sheetData>
    <row r="1" spans="1:43" ht="24.75" customHeight="1">
      <c r="A1" s="551" t="str">
        <f>'(PD-RD7)_ลุ่มน้ำปากพนัง'!A1:AI1</f>
        <v>รายละเอียดแผนการปฏิบัติงานและความก้าวหน้าผลการปฏิบัติงาน ณ วันที่  31  มกราคม 2559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</row>
    <row r="2" spans="1:43" ht="24.7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</row>
    <row r="3" spans="1:43" s="59" customFormat="1" ht="28.5" customHeight="1">
      <c r="A3" s="376" t="s">
        <v>178</v>
      </c>
    </row>
    <row r="4" spans="1:43" s="59" customFormat="1" ht="22.5" customHeight="1">
      <c r="A4" s="583" t="s">
        <v>14</v>
      </c>
      <c r="B4" s="682" t="s">
        <v>81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76" t="s">
        <v>82</v>
      </c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8"/>
      <c r="AG4" s="657" t="s">
        <v>80</v>
      </c>
      <c r="AH4" s="657"/>
      <c r="AI4" s="657"/>
    </row>
    <row r="5" spans="1:43" s="59" customFormat="1" ht="51" customHeight="1">
      <c r="A5" s="584"/>
      <c r="B5" s="661" t="s">
        <v>179</v>
      </c>
      <c r="C5" s="662"/>
      <c r="D5" s="662"/>
      <c r="E5" s="662"/>
      <c r="F5" s="662"/>
      <c r="G5" s="663"/>
      <c r="H5" s="661" t="s">
        <v>34</v>
      </c>
      <c r="I5" s="662"/>
      <c r="J5" s="662"/>
      <c r="K5" s="662"/>
      <c r="L5" s="662"/>
      <c r="M5" s="663"/>
      <c r="N5" s="661" t="s">
        <v>35</v>
      </c>
      <c r="O5" s="662"/>
      <c r="P5" s="662"/>
      <c r="Q5" s="662"/>
      <c r="R5" s="662"/>
      <c r="S5" s="662"/>
      <c r="T5" s="679" t="s">
        <v>36</v>
      </c>
      <c r="U5" s="680"/>
      <c r="V5" s="680"/>
      <c r="W5" s="680"/>
      <c r="X5" s="680"/>
      <c r="Y5" s="681"/>
      <c r="Z5" s="679" t="s">
        <v>180</v>
      </c>
      <c r="AA5" s="680"/>
      <c r="AB5" s="680"/>
      <c r="AC5" s="680"/>
      <c r="AD5" s="680"/>
      <c r="AE5" s="680"/>
      <c r="AF5" s="681"/>
      <c r="AG5" s="657"/>
      <c r="AH5" s="657"/>
      <c r="AI5" s="657"/>
    </row>
    <row r="6" spans="1:43" s="59" customFormat="1" ht="23.25" customHeight="1">
      <c r="A6" s="584"/>
      <c r="B6" s="582" t="s">
        <v>25</v>
      </c>
      <c r="C6" s="582"/>
      <c r="D6" s="582"/>
      <c r="E6" s="582"/>
      <c r="F6" s="592" t="s">
        <v>19</v>
      </c>
      <c r="G6" s="593"/>
      <c r="H6" s="582" t="s">
        <v>25</v>
      </c>
      <c r="I6" s="582"/>
      <c r="J6" s="582"/>
      <c r="K6" s="582"/>
      <c r="L6" s="592" t="s">
        <v>19</v>
      </c>
      <c r="M6" s="593"/>
      <c r="N6" s="582" t="s">
        <v>25</v>
      </c>
      <c r="O6" s="582"/>
      <c r="P6" s="582"/>
      <c r="Q6" s="582"/>
      <c r="R6" s="596" t="s">
        <v>19</v>
      </c>
      <c r="S6" s="598"/>
      <c r="T6" s="582" t="s">
        <v>25</v>
      </c>
      <c r="U6" s="582"/>
      <c r="V6" s="582"/>
      <c r="W6" s="582"/>
      <c r="X6" s="592" t="s">
        <v>19</v>
      </c>
      <c r="Y6" s="593"/>
      <c r="Z6" s="582" t="s">
        <v>25</v>
      </c>
      <c r="AA6" s="582"/>
      <c r="AB6" s="582"/>
      <c r="AC6" s="582"/>
      <c r="AD6" s="596" t="s">
        <v>19</v>
      </c>
      <c r="AE6" s="597"/>
      <c r="AF6" s="598"/>
      <c r="AG6" s="657" t="s">
        <v>31</v>
      </c>
      <c r="AH6" s="657"/>
      <c r="AI6" s="657" t="s">
        <v>4</v>
      </c>
    </row>
    <row r="7" spans="1:43" s="59" customFormat="1" ht="23.25" customHeight="1">
      <c r="A7" s="584"/>
      <c r="B7" s="582" t="s">
        <v>1</v>
      </c>
      <c r="C7" s="582"/>
      <c r="D7" s="582"/>
      <c r="E7" s="599" t="s">
        <v>24</v>
      </c>
      <c r="F7" s="594"/>
      <c r="G7" s="595"/>
      <c r="H7" s="582" t="s">
        <v>1</v>
      </c>
      <c r="I7" s="582"/>
      <c r="J7" s="582"/>
      <c r="K7" s="599" t="s">
        <v>24</v>
      </c>
      <c r="L7" s="594"/>
      <c r="M7" s="595"/>
      <c r="N7" s="582" t="s">
        <v>1</v>
      </c>
      <c r="O7" s="582"/>
      <c r="P7" s="582"/>
      <c r="Q7" s="599" t="s">
        <v>24</v>
      </c>
      <c r="R7" s="557" t="s">
        <v>63</v>
      </c>
      <c r="S7" s="578" t="s">
        <v>95</v>
      </c>
      <c r="T7" s="582" t="s">
        <v>1</v>
      </c>
      <c r="U7" s="582"/>
      <c r="V7" s="582"/>
      <c r="W7" s="599" t="s">
        <v>24</v>
      </c>
      <c r="X7" s="594"/>
      <c r="Y7" s="595"/>
      <c r="Z7" s="582" t="s">
        <v>1</v>
      </c>
      <c r="AA7" s="582"/>
      <c r="AB7" s="582"/>
      <c r="AC7" s="599" t="s">
        <v>24</v>
      </c>
      <c r="AD7" s="570" t="s">
        <v>83</v>
      </c>
      <c r="AE7" s="570" t="s">
        <v>27</v>
      </c>
      <c r="AF7" s="686" t="s">
        <v>93</v>
      </c>
      <c r="AG7" s="657" t="s">
        <v>32</v>
      </c>
      <c r="AH7" s="657" t="s">
        <v>16</v>
      </c>
      <c r="AI7" s="657"/>
    </row>
    <row r="8" spans="1:43" s="59" customFormat="1" ht="23.25" customHeight="1">
      <c r="A8" s="585"/>
      <c r="B8" s="125">
        <v>1</v>
      </c>
      <c r="C8" s="125">
        <v>2</v>
      </c>
      <c r="D8" s="273" t="s">
        <v>3</v>
      </c>
      <c r="E8" s="553"/>
      <c r="F8" s="116" t="s">
        <v>20</v>
      </c>
      <c r="G8" s="116" t="s">
        <v>2</v>
      </c>
      <c r="H8" s="125">
        <v>2</v>
      </c>
      <c r="I8" s="125">
        <v>3</v>
      </c>
      <c r="J8" s="273" t="s">
        <v>3</v>
      </c>
      <c r="K8" s="553"/>
      <c r="L8" s="116" t="s">
        <v>20</v>
      </c>
      <c r="M8" s="116" t="s">
        <v>2</v>
      </c>
      <c r="N8" s="271">
        <v>2</v>
      </c>
      <c r="O8" s="271">
        <v>3</v>
      </c>
      <c r="P8" s="273" t="s">
        <v>3</v>
      </c>
      <c r="Q8" s="553"/>
      <c r="R8" s="558"/>
      <c r="S8" s="579"/>
      <c r="T8" s="125">
        <v>1</v>
      </c>
      <c r="U8" s="125">
        <v>2</v>
      </c>
      <c r="V8" s="125" t="s">
        <v>3</v>
      </c>
      <c r="W8" s="553"/>
      <c r="X8" s="116" t="s">
        <v>20</v>
      </c>
      <c r="Y8" s="116" t="s">
        <v>2</v>
      </c>
      <c r="Z8" s="125">
        <v>2</v>
      </c>
      <c r="AA8" s="125">
        <v>3</v>
      </c>
      <c r="AB8" s="125" t="s">
        <v>3</v>
      </c>
      <c r="AC8" s="553"/>
      <c r="AD8" s="571"/>
      <c r="AE8" s="571"/>
      <c r="AF8" s="595"/>
      <c r="AG8" s="657"/>
      <c r="AH8" s="657"/>
      <c r="AI8" s="657"/>
    </row>
    <row r="9" spans="1:43" s="59" customFormat="1" ht="38.25" customHeight="1">
      <c r="A9" s="44" t="s">
        <v>8</v>
      </c>
      <c r="B9" s="197">
        <f>0+0+150</f>
        <v>150</v>
      </c>
      <c r="C9" s="197"/>
      <c r="D9" s="197">
        <f>SUM(B9:C9)</f>
        <v>150</v>
      </c>
      <c r="E9" s="198">
        <f>B9</f>
        <v>150</v>
      </c>
      <c r="F9" s="47">
        <v>150</v>
      </c>
      <c r="G9" s="199">
        <f>F9*100/E9</f>
        <v>100</v>
      </c>
      <c r="H9" s="197">
        <f>0+150+0</f>
        <v>150</v>
      </c>
      <c r="I9" s="197"/>
      <c r="J9" s="197">
        <f t="shared" ref="J9" si="0">SUM(H9:I9)</f>
        <v>150</v>
      </c>
      <c r="K9" s="198"/>
      <c r="L9" s="47"/>
      <c r="M9" s="199"/>
      <c r="N9" s="197"/>
      <c r="O9" s="197">
        <f>0+0+150</f>
        <v>150</v>
      </c>
      <c r="P9" s="197">
        <f t="shared" ref="P9" si="1">SUM(N9:O9)</f>
        <v>150</v>
      </c>
      <c r="Q9" s="198"/>
      <c r="R9" s="47"/>
      <c r="S9" s="144"/>
      <c r="T9" s="197">
        <f>0+0+30</f>
        <v>30</v>
      </c>
      <c r="U9" s="197"/>
      <c r="V9" s="197">
        <f>SUM(T9:U9)</f>
        <v>30</v>
      </c>
      <c r="W9" s="198">
        <f>T9</f>
        <v>30</v>
      </c>
      <c r="X9" s="47">
        <v>30</v>
      </c>
      <c r="Y9" s="199">
        <f>X9*100/W9</f>
        <v>100</v>
      </c>
      <c r="Z9" s="197"/>
      <c r="AA9" s="197">
        <f>0+0+30</f>
        <v>30</v>
      </c>
      <c r="AB9" s="197"/>
      <c r="AC9" s="198"/>
      <c r="AD9" s="200"/>
      <c r="AE9" s="199"/>
      <c r="AF9" s="199"/>
      <c r="AG9" s="221">
        <v>21702</v>
      </c>
      <c r="AH9" s="201">
        <v>15</v>
      </c>
      <c r="AI9" s="126"/>
    </row>
    <row r="10" spans="1:43" s="59" customFormat="1" ht="39.75" customHeight="1">
      <c r="A10" s="74" t="s">
        <v>6</v>
      </c>
      <c r="B10" s="29">
        <f t="shared" ref="B10:E10" si="2">SUM(B9:B9)</f>
        <v>150</v>
      </c>
      <c r="C10" s="29">
        <f t="shared" si="2"/>
        <v>0</v>
      </c>
      <c r="D10" s="29">
        <f t="shared" si="2"/>
        <v>150</v>
      </c>
      <c r="E10" s="30">
        <f t="shared" si="2"/>
        <v>150</v>
      </c>
      <c r="F10" s="19">
        <f>SUM(F9)</f>
        <v>150</v>
      </c>
      <c r="G10" s="19">
        <f>F10*100/E10</f>
        <v>100</v>
      </c>
      <c r="H10" s="29">
        <f t="shared" ref="H10:K10" si="3">SUM(H9:H9)</f>
        <v>150</v>
      </c>
      <c r="I10" s="29">
        <f t="shared" si="3"/>
        <v>0</v>
      </c>
      <c r="J10" s="29">
        <f t="shared" si="3"/>
        <v>150</v>
      </c>
      <c r="K10" s="30">
        <f t="shared" si="3"/>
        <v>0</v>
      </c>
      <c r="L10" s="19"/>
      <c r="M10" s="144"/>
      <c r="N10" s="29">
        <f t="shared" ref="N10:Q10" si="4">SUM(N9:N9)</f>
        <v>0</v>
      </c>
      <c r="O10" s="29">
        <f t="shared" si="4"/>
        <v>150</v>
      </c>
      <c r="P10" s="29">
        <f t="shared" si="4"/>
        <v>150</v>
      </c>
      <c r="Q10" s="30">
        <f t="shared" si="4"/>
        <v>0</v>
      </c>
      <c r="R10" s="19"/>
      <c r="S10" s="19"/>
      <c r="T10" s="29">
        <f t="shared" ref="T10:W10" si="5">SUM(T9:T9)</f>
        <v>30</v>
      </c>
      <c r="U10" s="29">
        <f t="shared" si="5"/>
        <v>0</v>
      </c>
      <c r="V10" s="29">
        <f t="shared" si="5"/>
        <v>30</v>
      </c>
      <c r="W10" s="30">
        <f t="shared" si="5"/>
        <v>30</v>
      </c>
      <c r="X10" s="19">
        <f>SUM(X9)</f>
        <v>30</v>
      </c>
      <c r="Y10" s="19">
        <f>X10*100/W10</f>
        <v>100</v>
      </c>
      <c r="Z10" s="29">
        <f t="shared" ref="Z10:AB10" si="6">SUM(Z9:Z9)</f>
        <v>0</v>
      </c>
      <c r="AA10" s="29">
        <f t="shared" si="6"/>
        <v>30</v>
      </c>
      <c r="AB10" s="29">
        <f t="shared" si="6"/>
        <v>0</v>
      </c>
      <c r="AC10" s="30">
        <f t="shared" ref="AC10" si="7">SUM(AC9)</f>
        <v>0</v>
      </c>
      <c r="AD10" s="19"/>
      <c r="AE10" s="245"/>
      <c r="AF10" s="144"/>
      <c r="AG10" s="138"/>
      <c r="AH10" s="138"/>
      <c r="AI10" s="138"/>
    </row>
    <row r="11" spans="1:43" ht="33" customHeight="1" thickBot="1">
      <c r="A11" s="80"/>
      <c r="C11" s="232"/>
      <c r="R11" s="92"/>
      <c r="S11" s="202"/>
      <c r="Y11" s="59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63"/>
      <c r="AO11" s="81"/>
      <c r="AP11" s="81"/>
      <c r="AQ11" s="81"/>
    </row>
    <row r="12" spans="1:43" ht="33" customHeight="1" thickTop="1">
      <c r="A12" s="80"/>
      <c r="B12" s="465"/>
      <c r="U12" s="530"/>
      <c r="Y12" s="59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63"/>
      <c r="AO12" s="81"/>
      <c r="AP12" s="81"/>
      <c r="AQ12" s="81"/>
    </row>
    <row r="13" spans="1:43" ht="17.25" customHeight="1">
      <c r="A13" s="80"/>
      <c r="Y13" s="59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63"/>
      <c r="AO13" s="81"/>
      <c r="AP13" s="81"/>
      <c r="AQ13" s="81"/>
    </row>
    <row r="14" spans="1:43" ht="17.25" customHeight="1">
      <c r="A14" s="80"/>
      <c r="Y14" s="59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63"/>
      <c r="AO14" s="81"/>
      <c r="AP14" s="81"/>
      <c r="AQ14" s="81"/>
    </row>
    <row r="15" spans="1:43" ht="17.25" customHeight="1">
      <c r="A15" s="80"/>
      <c r="Y15" s="59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63"/>
      <c r="AO15" s="81"/>
      <c r="AP15" s="81"/>
      <c r="AQ15" s="81"/>
    </row>
    <row r="16" spans="1:43" ht="17.25" customHeight="1">
      <c r="A16" s="80"/>
      <c r="Y16" s="59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63"/>
      <c r="AO16" s="81"/>
      <c r="AP16" s="81"/>
      <c r="AQ16" s="81"/>
    </row>
    <row r="17" spans="1:43" ht="17.25" customHeight="1">
      <c r="A17" s="80"/>
      <c r="Y17" s="59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63"/>
      <c r="AO17" s="81"/>
      <c r="AP17" s="81"/>
      <c r="AQ17" s="81"/>
    </row>
    <row r="18" spans="1:43" ht="17.25" customHeight="1">
      <c r="A18" s="80"/>
      <c r="Y18" s="59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63"/>
      <c r="AO18" s="81"/>
      <c r="AP18" s="81"/>
      <c r="AQ18" s="81"/>
    </row>
    <row r="19" spans="1:43" s="59" customFormat="1" ht="21" customHeight="1" thickBot="1">
      <c r="B19" s="104"/>
      <c r="C19" s="101"/>
      <c r="D19" s="103"/>
      <c r="E19" s="103"/>
      <c r="F19" s="10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1:43" ht="20.25" customHeight="1">
      <c r="A20" s="58"/>
      <c r="B20" s="377" t="s">
        <v>45</v>
      </c>
      <c r="C20" s="378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50"/>
      <c r="S20" s="50"/>
      <c r="T20" s="50"/>
      <c r="U20" s="50"/>
      <c r="V20" s="50"/>
      <c r="W20" s="50"/>
      <c r="X20" s="422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63"/>
      <c r="AN20" s="81"/>
      <c r="AO20" s="81"/>
      <c r="AP20" s="81"/>
    </row>
    <row r="21" spans="1:43" ht="20.25" customHeight="1">
      <c r="B21" s="684" t="s">
        <v>14</v>
      </c>
      <c r="C21" s="685"/>
      <c r="D21" s="285" t="s">
        <v>170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52"/>
      <c r="S21" s="52"/>
      <c r="T21" s="285" t="s">
        <v>104</v>
      </c>
      <c r="U21" s="285"/>
      <c r="V21" s="285"/>
      <c r="W21" s="285"/>
      <c r="X21" s="214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63"/>
      <c r="AN21" s="81"/>
      <c r="AO21" s="81"/>
      <c r="AP21" s="81"/>
    </row>
    <row r="22" spans="1:43" ht="20.25" customHeight="1">
      <c r="B22" s="336"/>
      <c r="C22" s="286"/>
      <c r="D22" s="419" t="s">
        <v>181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52"/>
      <c r="S22" s="52"/>
      <c r="T22" s="285"/>
      <c r="U22" s="285"/>
      <c r="V22" s="285"/>
      <c r="W22" s="285"/>
      <c r="X22" s="214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63"/>
      <c r="AN22" s="81"/>
      <c r="AO22" s="81"/>
      <c r="AP22" s="81"/>
    </row>
    <row r="23" spans="1:43" ht="20.25" customHeight="1">
      <c r="B23" s="332"/>
      <c r="C23" s="286"/>
      <c r="D23" s="285" t="s">
        <v>182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52"/>
      <c r="S23" s="52"/>
      <c r="T23" s="285" t="s">
        <v>70</v>
      </c>
      <c r="U23" s="285"/>
      <c r="V23" s="285"/>
      <c r="W23" s="285"/>
      <c r="X23" s="214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142"/>
      <c r="AN23" s="81"/>
      <c r="AO23" s="81"/>
      <c r="AP23" s="81"/>
    </row>
    <row r="24" spans="1:43" ht="20.25" customHeight="1">
      <c r="B24" s="332"/>
      <c r="C24" s="286"/>
      <c r="D24" s="338" t="s">
        <v>183</v>
      </c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411"/>
      <c r="S24" s="411"/>
      <c r="T24" s="575" t="s">
        <v>74</v>
      </c>
      <c r="U24" s="575"/>
      <c r="V24" s="575"/>
      <c r="W24" s="285"/>
      <c r="X24" s="332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81"/>
      <c r="AO24" s="81"/>
      <c r="AP24" s="81"/>
    </row>
    <row r="25" spans="1:43" ht="20.25" customHeight="1">
      <c r="B25" s="332"/>
      <c r="C25" s="286"/>
      <c r="D25" s="339" t="s">
        <v>184</v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412"/>
      <c r="S25" s="412"/>
      <c r="T25" s="576"/>
      <c r="U25" s="576"/>
      <c r="V25" s="576"/>
      <c r="W25" s="285"/>
      <c r="X25" s="332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</row>
    <row r="26" spans="1:43" ht="20.25" customHeight="1">
      <c r="B26" s="332"/>
      <c r="C26" s="286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52"/>
      <c r="S26" s="52"/>
      <c r="T26" s="285"/>
      <c r="U26" s="285"/>
      <c r="V26" s="285"/>
      <c r="W26" s="285"/>
      <c r="X26" s="332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</row>
    <row r="27" spans="1:43" ht="20.25" customHeight="1">
      <c r="B27" s="332"/>
      <c r="C27" s="286"/>
      <c r="D27" s="285" t="s">
        <v>174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52"/>
      <c r="S27" s="52"/>
      <c r="T27" s="285"/>
      <c r="U27" s="285"/>
      <c r="V27" s="285"/>
      <c r="W27" s="285"/>
      <c r="X27" s="332"/>
    </row>
    <row r="28" spans="1:43" ht="20.25" customHeight="1">
      <c r="B28" s="332"/>
      <c r="C28" s="286"/>
      <c r="D28" s="285" t="s">
        <v>185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52"/>
      <c r="S28" s="52"/>
      <c r="T28" s="285" t="s">
        <v>70</v>
      </c>
      <c r="U28" s="285"/>
      <c r="V28" s="285"/>
      <c r="W28" s="285"/>
      <c r="X28" s="332"/>
    </row>
    <row r="29" spans="1:43" ht="20.25" customHeight="1">
      <c r="B29" s="332"/>
      <c r="C29" s="286"/>
      <c r="D29" s="285" t="s">
        <v>186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52"/>
      <c r="S29" s="52"/>
      <c r="T29" s="285" t="s">
        <v>74</v>
      </c>
      <c r="U29" s="285"/>
      <c r="V29" s="285"/>
      <c r="W29" s="285"/>
      <c r="X29" s="332"/>
    </row>
    <row r="30" spans="1:43" ht="8.25" customHeight="1">
      <c r="B30" s="332"/>
      <c r="C30" s="286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52"/>
      <c r="S30" s="52"/>
      <c r="T30" s="285"/>
      <c r="U30" s="285"/>
      <c r="V30" s="285"/>
      <c r="W30" s="285"/>
      <c r="X30" s="332"/>
    </row>
    <row r="31" spans="1:43" ht="20.25" customHeight="1">
      <c r="B31" s="684" t="s">
        <v>30</v>
      </c>
      <c r="C31" s="685"/>
      <c r="D31" s="285" t="s">
        <v>187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52"/>
      <c r="S31" s="52"/>
      <c r="T31" s="285" t="s">
        <v>71</v>
      </c>
      <c r="U31" s="285"/>
      <c r="V31" s="285"/>
      <c r="W31" s="285"/>
      <c r="X31" s="332"/>
    </row>
    <row r="32" spans="1:43" ht="20.25" customHeight="1" thickBot="1">
      <c r="B32" s="333"/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57"/>
      <c r="S32" s="57"/>
      <c r="T32" s="57"/>
      <c r="U32" s="57"/>
      <c r="V32" s="57"/>
      <c r="W32" s="57"/>
      <c r="X32" s="75"/>
    </row>
    <row r="33" spans="1:32" s="59" customFormat="1" ht="21" customHeight="1">
      <c r="A33" s="63"/>
      <c r="B33" s="108"/>
      <c r="C33" s="109"/>
      <c r="D33" s="110"/>
      <c r="E33" s="11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1:32" s="59" customFormat="1" ht="21" customHeight="1">
      <c r="A34" s="61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s="59" customFormat="1" ht="20.100000000000001" customHeight="1">
      <c r="A35" s="63"/>
      <c r="B35" s="63"/>
      <c r="C35" s="109"/>
      <c r="D35" s="63"/>
      <c r="E35" s="64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s="59" customFormat="1" ht="20.100000000000001" customHeight="1">
      <c r="A36" s="112"/>
      <c r="B36" s="63"/>
      <c r="C36" s="113"/>
      <c r="D36" s="81"/>
      <c r="E36" s="63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</row>
    <row r="37" spans="1:32" s="59" customFormat="1" ht="20.100000000000001" customHeight="1">
      <c r="A37" s="81"/>
      <c r="B37" s="63"/>
      <c r="C37" s="81"/>
      <c r="D37" s="81" t="s">
        <v>26</v>
      </c>
      <c r="E37" s="64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 s="59" customFormat="1" ht="20.100000000000001" customHeight="1">
      <c r="A38" s="81"/>
      <c r="B38" s="63"/>
      <c r="C38" s="81"/>
      <c r="D38" s="81"/>
      <c r="E38" s="64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</row>
    <row r="39" spans="1:32" s="59" customFormat="1" ht="20.100000000000001" customHeight="1">
      <c r="A39" s="112"/>
      <c r="B39" s="63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</row>
    <row r="40" spans="1:32" s="59" customFormat="1" ht="20.100000000000001" customHeight="1">
      <c r="A40" s="81"/>
      <c r="B40" s="114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</row>
    <row r="41" spans="1:32" ht="20.100000000000001" customHeight="1">
      <c r="A41" s="81"/>
      <c r="B41" s="63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</row>
    <row r="42" spans="1:32" ht="20.100000000000001" customHeight="1">
      <c r="A42" s="81"/>
      <c r="B42" s="63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</row>
    <row r="43" spans="1:32" ht="20.100000000000001" customHeight="1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</row>
    <row r="44" spans="1:32" ht="20.100000000000001" customHeight="1"/>
    <row r="45" spans="1:32" ht="20.100000000000001" customHeight="1"/>
    <row r="46" spans="1:32" ht="20.100000000000001" customHeight="1"/>
    <row r="47" spans="1:32" ht="20.100000000000001" customHeight="1"/>
    <row r="48" spans="1:32" ht="25.5" customHeight="1"/>
    <row r="49" ht="25.5" customHeight="1"/>
    <row r="50" ht="25.5" customHeight="1"/>
    <row r="51" ht="25.5" customHeight="1"/>
    <row r="52" ht="18" customHeight="1"/>
    <row r="53" ht="18" customHeight="1"/>
  </sheetData>
  <mergeCells count="43">
    <mergeCell ref="B31:C31"/>
    <mergeCell ref="A1:AI1"/>
    <mergeCell ref="A2:AI2"/>
    <mergeCell ref="A4:A8"/>
    <mergeCell ref="B4:S4"/>
    <mergeCell ref="T4:AF4"/>
    <mergeCell ref="AG4:AI5"/>
    <mergeCell ref="B5:G5"/>
    <mergeCell ref="H5:M5"/>
    <mergeCell ref="N5:S5"/>
    <mergeCell ref="T5:Y5"/>
    <mergeCell ref="Z5:AF5"/>
    <mergeCell ref="B6:E6"/>
    <mergeCell ref="AI6:AI8"/>
    <mergeCell ref="Z7:AB7"/>
    <mergeCell ref="AC7:AC8"/>
    <mergeCell ref="Z6:AC6"/>
    <mergeCell ref="R6:S6"/>
    <mergeCell ref="R7:R8"/>
    <mergeCell ref="S7:S8"/>
    <mergeCell ref="T6:W6"/>
    <mergeCell ref="X6:Y7"/>
    <mergeCell ref="W7:W8"/>
    <mergeCell ref="AD6:AF6"/>
    <mergeCell ref="AD7:AD8"/>
    <mergeCell ref="AF7:AF8"/>
    <mergeCell ref="AG6:AH6"/>
    <mergeCell ref="AG7:AG8"/>
    <mergeCell ref="AH7:AH8"/>
    <mergeCell ref="AE7:AE8"/>
    <mergeCell ref="T24:V25"/>
    <mergeCell ref="B7:D7"/>
    <mergeCell ref="E7:E8"/>
    <mergeCell ref="H7:J7"/>
    <mergeCell ref="K7:K8"/>
    <mergeCell ref="N7:P7"/>
    <mergeCell ref="F6:G7"/>
    <mergeCell ref="H6:K6"/>
    <mergeCell ref="L6:M7"/>
    <mergeCell ref="Q7:Q8"/>
    <mergeCell ref="T7:V7"/>
    <mergeCell ref="N6:Q6"/>
    <mergeCell ref="B21:C21"/>
  </mergeCells>
  <pageMargins left="0.44" right="0" top="0" bottom="0" header="0.31496062992125984" footer="0.19685039370078741"/>
  <pageSetup paperSize="9" scale="65" orientation="landscape" r:id="rId1"/>
  <headerFooter alignWithMargins="0">
    <oddFooter>&amp;C&amp;8&amp;Z&amp;F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56"/>
  <sheetViews>
    <sheetView workbookViewId="0">
      <selection activeCell="F12" sqref="F12"/>
    </sheetView>
  </sheetViews>
  <sheetFormatPr defaultRowHeight="27.75" customHeight="1"/>
  <cols>
    <col min="1" max="1" width="14.140625" style="54" customWidth="1"/>
    <col min="2" max="2" width="5.85546875" style="54" customWidth="1"/>
    <col min="3" max="3" width="5.5703125" style="54" customWidth="1"/>
    <col min="4" max="4" width="5" style="54" customWidth="1"/>
    <col min="5" max="5" width="7" style="54" customWidth="1"/>
    <col min="6" max="6" width="5.42578125" style="54" customWidth="1"/>
    <col min="7" max="7" width="7.42578125" style="54" customWidth="1"/>
    <col min="8" max="9" width="5.28515625" style="54" customWidth="1"/>
    <col min="10" max="10" width="5.7109375" style="54" customWidth="1"/>
    <col min="11" max="11" width="7" style="54" customWidth="1"/>
    <col min="12" max="13" width="5.7109375" style="54" customWidth="1"/>
    <col min="14" max="15" width="5.140625" style="54" customWidth="1"/>
    <col min="16" max="16" width="5.42578125" style="54" customWidth="1"/>
    <col min="17" max="17" width="7.42578125" style="54" customWidth="1"/>
    <col min="18" max="18" width="7.5703125" style="54" customWidth="1"/>
    <col min="19" max="19" width="11.7109375" style="54" customWidth="1"/>
    <col min="20" max="20" width="7.85546875" style="54" customWidth="1"/>
    <col min="21" max="21" width="9" style="54" customWidth="1"/>
    <col min="22" max="22" width="10" style="54" customWidth="1"/>
    <col min="23" max="16384" width="9.140625" style="54"/>
  </cols>
  <sheetData>
    <row r="1" spans="1:30" ht="24.75" customHeight="1">
      <c r="A1" s="551" t="str">
        <f>'(PD-RD7)_ลุ่มน้ำปากพนัง'!A1:AI1</f>
        <v>รายละเอียดแผนการปฏิบัติงานและความก้าวหน้าผลการปฏิบัติงาน ณ วันที่  31  มกราคม 2559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</row>
    <row r="2" spans="1:30" ht="24.75" customHeight="1">
      <c r="A2" s="551" t="s">
        <v>0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</row>
    <row r="3" spans="1:30" s="59" customFormat="1" ht="28.5" customHeight="1">
      <c r="A3" s="376" t="s">
        <v>207</v>
      </c>
    </row>
    <row r="4" spans="1:30" s="59" customFormat="1" ht="51" customHeight="1">
      <c r="A4" s="583" t="s">
        <v>14</v>
      </c>
      <c r="B4" s="586" t="s">
        <v>208</v>
      </c>
      <c r="C4" s="587"/>
      <c r="D4" s="587"/>
      <c r="E4" s="587"/>
      <c r="F4" s="587"/>
      <c r="G4" s="588"/>
      <c r="H4" s="586" t="s">
        <v>34</v>
      </c>
      <c r="I4" s="587"/>
      <c r="J4" s="587"/>
      <c r="K4" s="587"/>
      <c r="L4" s="587"/>
      <c r="M4" s="588"/>
      <c r="N4" s="586" t="s">
        <v>111</v>
      </c>
      <c r="O4" s="587"/>
      <c r="P4" s="587"/>
      <c r="Q4" s="587"/>
      <c r="R4" s="587"/>
      <c r="S4" s="587"/>
      <c r="T4" s="657" t="s">
        <v>209</v>
      </c>
      <c r="U4" s="657"/>
      <c r="V4" s="657"/>
    </row>
    <row r="5" spans="1:30" s="59" customFormat="1" ht="23.25" customHeight="1">
      <c r="A5" s="584"/>
      <c r="B5" s="582" t="s">
        <v>25</v>
      </c>
      <c r="C5" s="582"/>
      <c r="D5" s="582"/>
      <c r="E5" s="582"/>
      <c r="F5" s="592" t="s">
        <v>19</v>
      </c>
      <c r="G5" s="593"/>
      <c r="H5" s="582" t="s">
        <v>25</v>
      </c>
      <c r="I5" s="582"/>
      <c r="J5" s="582"/>
      <c r="K5" s="582"/>
      <c r="L5" s="592" t="s">
        <v>19</v>
      </c>
      <c r="M5" s="593"/>
      <c r="N5" s="582" t="s">
        <v>25</v>
      </c>
      <c r="O5" s="582"/>
      <c r="P5" s="582"/>
      <c r="Q5" s="582"/>
      <c r="R5" s="596" t="s">
        <v>19</v>
      </c>
      <c r="S5" s="598"/>
      <c r="T5" s="657" t="s">
        <v>31</v>
      </c>
      <c r="U5" s="657"/>
      <c r="V5" s="657" t="s">
        <v>4</v>
      </c>
    </row>
    <row r="6" spans="1:30" s="59" customFormat="1" ht="23.25" customHeight="1">
      <c r="A6" s="584"/>
      <c r="B6" s="582" t="s">
        <v>1</v>
      </c>
      <c r="C6" s="582"/>
      <c r="D6" s="582"/>
      <c r="E6" s="599" t="s">
        <v>24</v>
      </c>
      <c r="F6" s="594"/>
      <c r="G6" s="595"/>
      <c r="H6" s="582" t="s">
        <v>1</v>
      </c>
      <c r="I6" s="582"/>
      <c r="J6" s="582"/>
      <c r="K6" s="599" t="s">
        <v>24</v>
      </c>
      <c r="L6" s="594"/>
      <c r="M6" s="595"/>
      <c r="N6" s="582" t="s">
        <v>1</v>
      </c>
      <c r="O6" s="582"/>
      <c r="P6" s="582"/>
      <c r="Q6" s="599" t="s">
        <v>24</v>
      </c>
      <c r="R6" s="557" t="s">
        <v>63</v>
      </c>
      <c r="S6" s="578" t="s">
        <v>95</v>
      </c>
      <c r="T6" s="657" t="s">
        <v>32</v>
      </c>
      <c r="U6" s="657" t="s">
        <v>16</v>
      </c>
      <c r="V6" s="657"/>
    </row>
    <row r="7" spans="1:30" s="59" customFormat="1" ht="23.25" customHeight="1">
      <c r="A7" s="585"/>
      <c r="B7" s="461">
        <v>1</v>
      </c>
      <c r="C7" s="461">
        <v>2</v>
      </c>
      <c r="D7" s="459" t="s">
        <v>3</v>
      </c>
      <c r="E7" s="553"/>
      <c r="F7" s="460" t="s">
        <v>20</v>
      </c>
      <c r="G7" s="460" t="s">
        <v>2</v>
      </c>
      <c r="H7" s="461">
        <v>2</v>
      </c>
      <c r="I7" s="461">
        <v>3</v>
      </c>
      <c r="J7" s="459" t="s">
        <v>3</v>
      </c>
      <c r="K7" s="553"/>
      <c r="L7" s="460" t="s">
        <v>20</v>
      </c>
      <c r="M7" s="460" t="s">
        <v>2</v>
      </c>
      <c r="N7" s="461">
        <v>2</v>
      </c>
      <c r="O7" s="461">
        <v>3</v>
      </c>
      <c r="P7" s="459" t="s">
        <v>3</v>
      </c>
      <c r="Q7" s="553"/>
      <c r="R7" s="558"/>
      <c r="S7" s="579"/>
      <c r="T7" s="657"/>
      <c r="U7" s="657"/>
      <c r="V7" s="657"/>
    </row>
    <row r="8" spans="1:30" s="59" customFormat="1" ht="38.25" customHeight="1">
      <c r="A8" s="4" t="s">
        <v>7</v>
      </c>
      <c r="B8" s="14">
        <f>0+0+32</f>
        <v>32</v>
      </c>
      <c r="C8" s="14"/>
      <c r="D8" s="14">
        <f>SUM(B8:C8)</f>
        <v>32</v>
      </c>
      <c r="E8" s="307">
        <f>B8</f>
        <v>32</v>
      </c>
      <c r="F8" s="204">
        <v>32</v>
      </c>
      <c r="G8" s="469">
        <f>F8*100/E8</f>
        <v>100</v>
      </c>
      <c r="H8" s="14">
        <f>0+0+32</f>
        <v>32</v>
      </c>
      <c r="I8" s="14"/>
      <c r="J8" s="14">
        <f>SUM(H8:I8)</f>
        <v>32</v>
      </c>
      <c r="K8" s="307"/>
      <c r="L8" s="204"/>
      <c r="M8" s="469"/>
      <c r="N8" s="14"/>
      <c r="O8" s="14">
        <f>0+0+32</f>
        <v>32</v>
      </c>
      <c r="P8" s="14">
        <f>SUM(N8:O8)</f>
        <v>32</v>
      </c>
      <c r="Q8" s="307"/>
      <c r="R8" s="204"/>
      <c r="S8" s="470"/>
      <c r="T8" s="471"/>
      <c r="U8" s="472"/>
      <c r="V8" s="473"/>
    </row>
    <row r="9" spans="1:30" s="59" customFormat="1" ht="38.25" customHeight="1">
      <c r="A9" s="26" t="s">
        <v>13</v>
      </c>
      <c r="B9" s="10">
        <f>0+0+32</f>
        <v>32</v>
      </c>
      <c r="C9" s="10"/>
      <c r="D9" s="10">
        <f>SUM(B9:C9)</f>
        <v>32</v>
      </c>
      <c r="E9" s="205">
        <f>B9</f>
        <v>32</v>
      </c>
      <c r="F9" s="46">
        <v>32</v>
      </c>
      <c r="G9" s="474">
        <f>F9*100/E9</f>
        <v>100</v>
      </c>
      <c r="H9" s="10">
        <f>0+0+32</f>
        <v>32</v>
      </c>
      <c r="I9" s="10"/>
      <c r="J9" s="10">
        <f>SUM(H9:I9)</f>
        <v>32</v>
      </c>
      <c r="K9" s="205"/>
      <c r="L9" s="46"/>
      <c r="M9" s="474"/>
      <c r="N9" s="10"/>
      <c r="O9" s="10">
        <f>0+0+32</f>
        <v>32</v>
      </c>
      <c r="P9" s="10">
        <f>SUM(N9:O9)</f>
        <v>32</v>
      </c>
      <c r="Q9" s="205"/>
      <c r="R9" s="46"/>
      <c r="S9" s="475"/>
      <c r="T9" s="476"/>
      <c r="U9" s="477"/>
      <c r="V9" s="24"/>
    </row>
    <row r="10" spans="1:30" s="59" customFormat="1" ht="39.75" customHeight="1">
      <c r="A10" s="74" t="s">
        <v>6</v>
      </c>
      <c r="B10" s="29">
        <f>SUM(B8:B9)</f>
        <v>64</v>
      </c>
      <c r="C10" s="29">
        <f t="shared" ref="C10:D10" si="0">SUM(C8:C9)</f>
        <v>0</v>
      </c>
      <c r="D10" s="29">
        <f t="shared" si="0"/>
        <v>64</v>
      </c>
      <c r="E10" s="30">
        <f>SUM(E8:E9)</f>
        <v>64</v>
      </c>
      <c r="F10" s="19">
        <f>SUM(F8:F9)</f>
        <v>64</v>
      </c>
      <c r="G10" s="32">
        <f>F10*100/E10</f>
        <v>100</v>
      </c>
      <c r="H10" s="29">
        <f t="shared" ref="H10:K10" si="1">SUM(H8:H8)</f>
        <v>32</v>
      </c>
      <c r="I10" s="29">
        <f t="shared" si="1"/>
        <v>0</v>
      </c>
      <c r="J10" s="29">
        <f t="shared" si="1"/>
        <v>32</v>
      </c>
      <c r="K10" s="30">
        <f t="shared" si="1"/>
        <v>0</v>
      </c>
      <c r="L10" s="19"/>
      <c r="M10" s="144"/>
      <c r="N10" s="29">
        <f t="shared" ref="N10:Q10" si="2">SUM(N8:N8)</f>
        <v>0</v>
      </c>
      <c r="O10" s="29">
        <f t="shared" si="2"/>
        <v>32</v>
      </c>
      <c r="P10" s="29">
        <f t="shared" si="2"/>
        <v>32</v>
      </c>
      <c r="Q10" s="30">
        <f t="shared" si="2"/>
        <v>0</v>
      </c>
      <c r="R10" s="19"/>
      <c r="S10" s="19"/>
      <c r="T10" s="138"/>
      <c r="U10" s="138"/>
      <c r="V10" s="138"/>
    </row>
    <row r="11" spans="1:30" ht="33" customHeight="1" thickBot="1">
      <c r="A11" s="80"/>
      <c r="C11" s="232"/>
      <c r="R11" s="92"/>
      <c r="S11" s="202"/>
      <c r="T11" s="81"/>
      <c r="U11" s="81"/>
      <c r="V11" s="81"/>
      <c r="W11" s="81"/>
      <c r="X11" s="81"/>
      <c r="Y11" s="81"/>
      <c r="Z11" s="81"/>
      <c r="AA11" s="63"/>
      <c r="AB11" s="81"/>
      <c r="AC11" s="81"/>
      <c r="AD11" s="81"/>
    </row>
    <row r="12" spans="1:30" ht="33" customHeight="1" thickTop="1">
      <c r="A12" s="80"/>
      <c r="B12" s="465" t="s">
        <v>223</v>
      </c>
      <c r="T12" s="81"/>
      <c r="U12" s="81"/>
      <c r="V12" s="81"/>
      <c r="W12" s="81"/>
      <c r="X12" s="81"/>
      <c r="Y12" s="81"/>
      <c r="Z12" s="81"/>
      <c r="AA12" s="63"/>
      <c r="AB12" s="81"/>
      <c r="AC12" s="81"/>
      <c r="AD12" s="81"/>
    </row>
    <row r="13" spans="1:30" ht="17.25" customHeight="1">
      <c r="A13" s="80"/>
      <c r="B13" s="54" t="s">
        <v>224</v>
      </c>
      <c r="T13" s="81"/>
      <c r="U13" s="81"/>
      <c r="V13" s="81"/>
      <c r="W13" s="81"/>
      <c r="X13" s="81"/>
      <c r="Y13" s="81"/>
      <c r="Z13" s="81"/>
      <c r="AA13" s="63"/>
      <c r="AB13" s="81"/>
      <c r="AC13" s="81"/>
      <c r="AD13" s="81"/>
    </row>
    <row r="14" spans="1:30" ht="17.25" customHeight="1">
      <c r="A14" s="80"/>
      <c r="T14" s="81"/>
      <c r="U14" s="81"/>
      <c r="V14" s="81"/>
      <c r="W14" s="81"/>
      <c r="X14" s="81"/>
      <c r="Y14" s="81"/>
      <c r="Z14" s="81"/>
      <c r="AA14" s="63"/>
      <c r="AB14" s="81"/>
      <c r="AC14" s="81"/>
      <c r="AD14" s="81"/>
    </row>
    <row r="15" spans="1:30" ht="17.25" customHeight="1">
      <c r="A15" s="80"/>
      <c r="T15" s="81"/>
      <c r="U15" s="81"/>
      <c r="V15" s="81"/>
      <c r="W15" s="81"/>
      <c r="X15" s="81"/>
      <c r="Y15" s="81"/>
      <c r="Z15" s="81"/>
      <c r="AA15" s="63"/>
      <c r="AB15" s="81"/>
      <c r="AC15" s="81"/>
      <c r="AD15" s="81"/>
    </row>
    <row r="16" spans="1:30" ht="17.25" customHeight="1">
      <c r="A16" s="80"/>
      <c r="T16" s="81"/>
      <c r="U16" s="81"/>
      <c r="V16" s="81"/>
      <c r="W16" s="81"/>
      <c r="X16" s="81"/>
      <c r="Y16" s="81"/>
      <c r="Z16" s="81"/>
      <c r="AA16" s="63"/>
      <c r="AB16" s="81"/>
      <c r="AC16" s="81"/>
      <c r="AD16" s="81"/>
    </row>
    <row r="17" spans="1:30" ht="17.25" customHeight="1">
      <c r="A17" s="80"/>
      <c r="T17" s="81"/>
      <c r="U17" s="81"/>
      <c r="V17" s="81"/>
      <c r="W17" s="81"/>
      <c r="X17" s="81"/>
      <c r="Y17" s="81"/>
      <c r="Z17" s="81"/>
      <c r="AA17" s="63"/>
      <c r="AB17" s="81"/>
      <c r="AC17" s="81"/>
      <c r="AD17" s="81"/>
    </row>
    <row r="18" spans="1:30" ht="17.25" customHeight="1">
      <c r="A18" s="80"/>
      <c r="T18" s="81"/>
      <c r="U18" s="81"/>
      <c r="V18" s="81"/>
      <c r="W18" s="81"/>
      <c r="X18" s="81"/>
      <c r="Y18" s="81"/>
      <c r="Z18" s="81"/>
      <c r="AA18" s="63"/>
      <c r="AB18" s="81"/>
      <c r="AC18" s="81"/>
      <c r="AD18" s="81"/>
    </row>
    <row r="19" spans="1:30" s="59" customFormat="1" ht="21" customHeight="1" thickBot="1">
      <c r="B19" s="104"/>
      <c r="C19" s="101"/>
      <c r="D19" s="103"/>
      <c r="E19" s="103"/>
      <c r="F19" s="10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</row>
    <row r="20" spans="1:30" ht="20.25" customHeight="1">
      <c r="A20" s="58"/>
      <c r="B20" s="377" t="s">
        <v>45</v>
      </c>
      <c r="C20" s="378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50"/>
      <c r="S20" s="478"/>
      <c r="T20" s="81"/>
      <c r="U20" s="81"/>
      <c r="V20" s="81"/>
      <c r="W20" s="81"/>
      <c r="X20" s="81"/>
      <c r="Y20" s="81"/>
      <c r="Z20" s="63"/>
      <c r="AA20" s="81"/>
      <c r="AB20" s="81"/>
      <c r="AC20" s="81"/>
    </row>
    <row r="21" spans="1:30" ht="20.25" customHeight="1">
      <c r="B21" s="684" t="s">
        <v>14</v>
      </c>
      <c r="C21" s="685"/>
      <c r="D21" s="285" t="s">
        <v>210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52"/>
      <c r="S21" s="479"/>
      <c r="T21" s="81"/>
      <c r="U21" s="81"/>
      <c r="V21" s="81"/>
      <c r="W21" s="81"/>
      <c r="X21" s="81"/>
      <c r="Y21" s="81"/>
      <c r="Z21" s="63"/>
      <c r="AA21" s="81"/>
      <c r="AB21" s="81"/>
      <c r="AC21" s="81"/>
    </row>
    <row r="22" spans="1:30" ht="20.25" customHeight="1">
      <c r="B22" s="336"/>
      <c r="C22" s="285"/>
      <c r="D22" s="419" t="s">
        <v>211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52"/>
      <c r="S22" s="479"/>
      <c r="T22" s="81"/>
      <c r="U22" s="81"/>
      <c r="V22" s="81"/>
      <c r="W22" s="81"/>
      <c r="X22" s="81"/>
      <c r="Y22" s="81"/>
      <c r="Z22" s="63"/>
      <c r="AA22" s="81"/>
      <c r="AB22" s="81"/>
      <c r="AC22" s="81"/>
    </row>
    <row r="23" spans="1:30" ht="20.25" customHeight="1">
      <c r="B23" s="332"/>
      <c r="C23" s="285"/>
      <c r="D23" s="285" t="s">
        <v>212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52"/>
      <c r="S23" s="479"/>
      <c r="T23" s="203"/>
      <c r="U23" s="203"/>
      <c r="V23" s="203"/>
      <c r="W23" s="203"/>
      <c r="X23" s="203"/>
      <c r="Y23" s="203"/>
      <c r="Z23" s="142"/>
      <c r="AA23" s="81"/>
      <c r="AB23" s="81"/>
      <c r="AC23" s="81"/>
    </row>
    <row r="24" spans="1:30" ht="20.25" customHeight="1">
      <c r="B24" s="332"/>
      <c r="C24" s="285"/>
      <c r="D24" s="285"/>
      <c r="E24" s="285" t="s">
        <v>213</v>
      </c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52"/>
      <c r="S24" s="479"/>
      <c r="T24" s="203"/>
      <c r="U24" s="203"/>
      <c r="V24" s="203"/>
      <c r="W24" s="203"/>
      <c r="X24" s="203"/>
      <c r="Y24" s="203"/>
      <c r="Z24" s="203"/>
      <c r="AA24" s="81"/>
      <c r="AB24" s="81"/>
      <c r="AC24" s="81"/>
    </row>
    <row r="25" spans="1:30" ht="20.25" customHeight="1">
      <c r="B25" s="332"/>
      <c r="C25" s="285"/>
      <c r="D25" s="285"/>
      <c r="E25" s="285" t="s">
        <v>214</v>
      </c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52"/>
      <c r="S25" s="479"/>
      <c r="T25" s="81"/>
      <c r="U25" s="81"/>
      <c r="V25" s="81"/>
      <c r="W25" s="81"/>
      <c r="X25" s="81"/>
      <c r="Y25" s="81"/>
      <c r="Z25" s="81"/>
      <c r="AA25" s="81"/>
      <c r="AB25" s="81"/>
      <c r="AC25" s="81"/>
    </row>
    <row r="26" spans="1:30" ht="20.25" customHeight="1">
      <c r="B26" s="332"/>
      <c r="C26" s="285"/>
      <c r="D26" s="285" t="s">
        <v>215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52"/>
      <c r="S26" s="479"/>
      <c r="T26" s="81"/>
      <c r="U26" s="81"/>
      <c r="V26" s="81"/>
      <c r="W26" s="81"/>
      <c r="X26" s="81"/>
      <c r="Y26" s="81"/>
      <c r="Z26" s="81"/>
      <c r="AA26" s="81"/>
      <c r="AB26" s="81"/>
      <c r="AC26" s="81"/>
    </row>
    <row r="27" spans="1:30" ht="20.25" customHeight="1">
      <c r="B27" s="332"/>
      <c r="C27" s="285"/>
      <c r="D27" s="419" t="s">
        <v>216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5"/>
      <c r="R27" s="52"/>
      <c r="S27" s="479"/>
    </row>
    <row r="28" spans="1:30" ht="20.25" customHeight="1">
      <c r="B28" s="332"/>
      <c r="C28" s="285"/>
      <c r="D28" s="285" t="s">
        <v>217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52"/>
      <c r="S28" s="479"/>
    </row>
    <row r="29" spans="1:30" ht="20.25" customHeight="1">
      <c r="B29" s="332"/>
      <c r="C29" s="285"/>
      <c r="D29" s="285"/>
      <c r="E29" s="285" t="s">
        <v>218</v>
      </c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52"/>
      <c r="S29" s="479"/>
    </row>
    <row r="30" spans="1:30" ht="20.25" customHeight="1">
      <c r="B30" s="332"/>
      <c r="C30" s="285"/>
      <c r="D30" s="285"/>
      <c r="E30" s="285" t="s">
        <v>219</v>
      </c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52"/>
      <c r="S30" s="479"/>
    </row>
    <row r="31" spans="1:30" ht="20.25" customHeight="1">
      <c r="B31" s="332"/>
      <c r="C31" s="285"/>
      <c r="D31" s="285" t="s">
        <v>220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52"/>
      <c r="S31" s="479"/>
    </row>
    <row r="32" spans="1:30" ht="20.25" customHeight="1">
      <c r="B32" s="332"/>
      <c r="C32" s="285"/>
      <c r="D32" s="285" t="s">
        <v>221</v>
      </c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5"/>
      <c r="R32" s="52"/>
      <c r="S32" s="479"/>
    </row>
    <row r="33" spans="1:19" ht="8.25" customHeight="1">
      <c r="B33" s="332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5"/>
      <c r="Q33" s="285"/>
      <c r="R33" s="52"/>
      <c r="S33" s="479"/>
    </row>
    <row r="34" spans="1:19" ht="20.25" customHeight="1">
      <c r="B34" s="684" t="s">
        <v>30</v>
      </c>
      <c r="C34" s="685"/>
      <c r="D34" s="285" t="s">
        <v>222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52"/>
      <c r="S34" s="479"/>
    </row>
    <row r="35" spans="1:19" ht="20.25" customHeight="1" thickBot="1">
      <c r="B35" s="333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57"/>
      <c r="S35" s="480"/>
    </row>
    <row r="36" spans="1:19" s="59" customFormat="1" ht="21" customHeight="1">
      <c r="A36" s="63"/>
      <c r="B36" s="108"/>
      <c r="C36" s="109"/>
      <c r="D36" s="110"/>
      <c r="E36" s="111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59" customFormat="1" ht="21" customHeight="1">
      <c r="A37" s="61"/>
      <c r="B37" s="62"/>
      <c r="C37" s="63"/>
      <c r="D37" s="63"/>
      <c r="E37" s="6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59" customFormat="1" ht="20.100000000000001" customHeight="1">
      <c r="A38" s="63"/>
      <c r="B38" s="63"/>
      <c r="C38" s="109"/>
      <c r="D38" s="63"/>
      <c r="E38" s="64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59" customFormat="1" ht="20.100000000000001" customHeight="1">
      <c r="A39" s="112"/>
      <c r="B39" s="63"/>
      <c r="C39" s="113"/>
      <c r="D39" s="81"/>
      <c r="E39" s="6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1:19" s="59" customFormat="1" ht="20.100000000000001" customHeight="1">
      <c r="A40" s="81"/>
      <c r="B40" s="63"/>
      <c r="C40" s="81"/>
      <c r="D40" s="81" t="s">
        <v>26</v>
      </c>
      <c r="E40" s="64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1:19" s="59" customFormat="1" ht="20.100000000000001" customHeight="1">
      <c r="A41" s="81"/>
      <c r="B41" s="63"/>
      <c r="C41" s="81"/>
      <c r="D41" s="81"/>
      <c r="E41" s="64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1:19" s="59" customFormat="1" ht="20.100000000000001" customHeight="1">
      <c r="A42" s="112"/>
      <c r="B42" s="63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1:19" s="59" customFormat="1" ht="20.100000000000001" customHeight="1">
      <c r="A43" s="81"/>
      <c r="B43" s="114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1:19" ht="20.100000000000001" customHeight="1">
      <c r="A44" s="81"/>
      <c r="B44" s="63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1:19" ht="20.100000000000001" customHeight="1">
      <c r="A45" s="81"/>
      <c r="B45" s="63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1:19" ht="20.100000000000001" customHeight="1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1:19" ht="20.100000000000001" customHeight="1"/>
    <row r="48" spans="1:19" ht="20.100000000000001" customHeight="1"/>
    <row r="49" ht="20.100000000000001" customHeight="1"/>
    <row r="50" ht="20.100000000000001" customHeight="1"/>
    <row r="51" ht="25.5" customHeight="1"/>
    <row r="52" ht="25.5" customHeight="1"/>
    <row r="53" ht="25.5" customHeight="1"/>
    <row r="54" ht="25.5" customHeight="1"/>
    <row r="55" ht="18" customHeight="1"/>
    <row r="56" ht="18" customHeight="1"/>
  </sheetData>
  <mergeCells count="27">
    <mergeCell ref="A1:V1"/>
    <mergeCell ref="A2:V2"/>
    <mergeCell ref="A4:A7"/>
    <mergeCell ref="T4:V4"/>
    <mergeCell ref="B4:G4"/>
    <mergeCell ref="H4:M4"/>
    <mergeCell ref="N4:S4"/>
    <mergeCell ref="T5:U5"/>
    <mergeCell ref="V5:V7"/>
    <mergeCell ref="B6:D6"/>
    <mergeCell ref="E6:E7"/>
    <mergeCell ref="H6:J6"/>
    <mergeCell ref="K6:K7"/>
    <mergeCell ref="N6:P6"/>
    <mergeCell ref="Q6:Q7"/>
    <mergeCell ref="R6:R7"/>
    <mergeCell ref="R5:S5"/>
    <mergeCell ref="B34:C34"/>
    <mergeCell ref="T6:T7"/>
    <mergeCell ref="U6:U7"/>
    <mergeCell ref="B21:C21"/>
    <mergeCell ref="S6:S7"/>
    <mergeCell ref="B5:E5"/>
    <mergeCell ref="F5:G6"/>
    <mergeCell ref="H5:K5"/>
    <mergeCell ref="L5:M6"/>
    <mergeCell ref="N5:Q5"/>
  </mergeCells>
  <pageMargins left="2.37" right="0" top="0" bottom="0" header="0.31496062992125984" footer="0.19685039370078741"/>
  <pageSetup paperSize="9" scale="65" orientation="landscape" r:id="rId1"/>
  <headerFooter alignWithMargins="0"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2</vt:i4>
      </vt:variant>
    </vt:vector>
  </HeadingPairs>
  <TitlesOfParts>
    <vt:vector size="12" baseType="lpstr">
      <vt:lpstr>(PD-RD1)_พัฒนาภูมิปัญญาฯ</vt:lpstr>
      <vt:lpstr>(PD-RD2_เกษตรกรปราดเปรื่อง</vt:lpstr>
      <vt:lpstr>(PD-RD3)_สร้างความยั่งยืนฯ</vt:lpstr>
      <vt:lpstr>(PD-RD4)_ปาล์มน้ำมันและยางพารา</vt:lpstr>
      <vt:lpstr>(PD-RD5)_คลินิกเกษตร</vt:lpstr>
      <vt:lpstr>(PD-RD6)_พัฒนาเด็กและเยาวชน ตชด</vt:lpstr>
      <vt:lpstr>(PD-RD7)_ลุ่มน้ำปากพนัง</vt:lpstr>
      <vt:lpstr>(PD-RD8)_ศูนย์พิกุลทอง</vt:lpstr>
      <vt:lpstr>(PD-RD11)_ศูนย์เรียนรู้เศรษฐกิจ</vt:lpstr>
      <vt:lpstr>(PD-RD12)_กลุ่มอาชีพ</vt:lpstr>
      <vt:lpstr>'(PD-RD1)_พัฒนาภูมิปัญญาฯ'!Print_Titles</vt:lpstr>
      <vt:lpstr>'(PD-RD3)_สร้างความยั่งยืนฯ'!Print_Titles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uraiwan</cp:lastModifiedBy>
  <cp:lastPrinted>2016-02-02T03:16:57Z</cp:lastPrinted>
  <dcterms:created xsi:type="dcterms:W3CDTF">2009-12-14T03:39:28Z</dcterms:created>
  <dcterms:modified xsi:type="dcterms:W3CDTF">2016-02-05T05:45:41Z</dcterms:modified>
</cp:coreProperties>
</file>