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660" yWindow="285" windowWidth="11355" windowHeight="7635" tabRatio="635" firstSheet="2" activeTab="5"/>
  </bookViews>
  <sheets>
    <sheet name="(PC-RC1)_อบรมผู้ตรวจสอบกิจการ" sheetId="25" r:id="rId1"/>
    <sheet name="(PC-RC2)_ผู้จัดการพืชเศรษฐกิจ" sheetId="26" r:id="rId2"/>
    <sheet name="(PC-RC3)_พัฒนาประสิทธิภาพ" sheetId="76" r:id="rId3"/>
    <sheet name="(PC-RC4)_พัฒนาสหกรณ์ภาคเอกชน" sheetId="23" r:id="rId4"/>
    <sheet name="(PC-RC5)_วสช.ใหม่" sheetId="77" r:id="rId5"/>
    <sheet name="(PC-RC6)_วสช.เดิม" sheetId="78" r:id="rId6"/>
  </sheets>
  <calcPr calcId="124519"/>
  <fileRecoveryPr autoRecover="0"/>
</workbook>
</file>

<file path=xl/calcChain.xml><?xml version="1.0" encoding="utf-8"?>
<calcChain xmlns="http://schemas.openxmlformats.org/spreadsheetml/2006/main">
  <c r="N15" i="78"/>
  <c r="M16"/>
  <c r="L16"/>
  <c r="P15" i="77"/>
  <c r="P12"/>
  <c r="P9"/>
  <c r="N15" i="23"/>
  <c r="M10"/>
  <c r="M11"/>
  <c r="M12"/>
  <c r="M13"/>
  <c r="M14"/>
  <c r="M9"/>
  <c r="L15"/>
  <c r="K8"/>
  <c r="M8" s="1"/>
  <c r="AC11" i="76"/>
  <c r="Y11"/>
  <c r="AC10"/>
  <c r="AC9"/>
  <c r="AC8"/>
  <c r="H9"/>
  <c r="H10"/>
  <c r="S11" i="77"/>
  <c r="V11" i="76"/>
  <c r="O11"/>
  <c r="Y16" i="78"/>
  <c r="Z16"/>
  <c r="AA16"/>
  <c r="X16"/>
  <c r="V10" i="76"/>
  <c r="V9"/>
  <c r="O9"/>
  <c r="V16" i="78"/>
  <c r="U16"/>
  <c r="Y10" i="76"/>
  <c r="I12"/>
  <c r="P13" i="26"/>
  <c r="N13"/>
  <c r="T11" i="76"/>
  <c r="T10"/>
  <c r="T8"/>
  <c r="T9"/>
  <c r="M11"/>
  <c r="M10"/>
  <c r="O10" s="1"/>
  <c r="M9"/>
  <c r="M8"/>
  <c r="H11"/>
  <c r="H8"/>
  <c r="F12"/>
  <c r="G12"/>
  <c r="E12"/>
  <c r="I9" i="23"/>
  <c r="I8"/>
  <c r="AF10" i="76"/>
  <c r="AC12" l="1"/>
  <c r="H12"/>
  <c r="R9" i="78" l="1"/>
  <c r="Q9"/>
  <c r="P9"/>
  <c r="O9"/>
  <c r="T9" s="1"/>
  <c r="W9" s="1"/>
  <c r="F9"/>
  <c r="E9"/>
  <c r="D9"/>
  <c r="C9"/>
  <c r="H9" s="1"/>
  <c r="K9" s="1"/>
  <c r="U16" i="77"/>
  <c r="V16"/>
  <c r="T16"/>
  <c r="N14"/>
  <c r="M14"/>
  <c r="L14"/>
  <c r="K14"/>
  <c r="P14" s="1"/>
  <c r="S14" s="1"/>
  <c r="C14"/>
  <c r="F14" s="1"/>
  <c r="H14" s="1"/>
  <c r="I14" i="23"/>
  <c r="I13"/>
  <c r="I12"/>
  <c r="I11"/>
  <c r="I10"/>
  <c r="W12" i="76"/>
  <c r="U12"/>
  <c r="P12"/>
  <c r="N12"/>
  <c r="H13" i="26"/>
  <c r="E9"/>
  <c r="B9"/>
  <c r="G9" s="1"/>
  <c r="I9" s="1"/>
  <c r="E11"/>
  <c r="D11"/>
  <c r="C11"/>
  <c r="B11"/>
  <c r="G11" s="1"/>
  <c r="I11" s="1"/>
  <c r="AA15" i="25"/>
  <c r="AA10"/>
  <c r="AA11"/>
  <c r="AA12"/>
  <c r="AA13"/>
  <c r="AA14"/>
  <c r="AA9"/>
  <c r="AA8"/>
  <c r="R15"/>
  <c r="R11"/>
  <c r="R13"/>
  <c r="R14"/>
  <c r="R10"/>
  <c r="R9"/>
  <c r="R8"/>
  <c r="I15"/>
  <c r="I10"/>
  <c r="I11"/>
  <c r="I12"/>
  <c r="I13"/>
  <c r="I14"/>
  <c r="I9"/>
  <c r="I8"/>
  <c r="K13"/>
  <c r="K12"/>
  <c r="K11"/>
  <c r="K9"/>
  <c r="T14"/>
  <c r="T13"/>
  <c r="T12"/>
  <c r="T11"/>
  <c r="T10"/>
  <c r="T9"/>
  <c r="T8"/>
  <c r="K14"/>
  <c r="K10"/>
  <c r="K8"/>
  <c r="B14"/>
  <c r="B13"/>
  <c r="B12"/>
  <c r="B11"/>
  <c r="B10"/>
  <c r="B9"/>
  <c r="B8"/>
  <c r="Q8" i="76"/>
  <c r="J10"/>
  <c r="R13" i="78"/>
  <c r="Q13"/>
  <c r="P13"/>
  <c r="O13"/>
  <c r="T13" s="1"/>
  <c r="W13" s="1"/>
  <c r="R12"/>
  <c r="Q12"/>
  <c r="P12"/>
  <c r="O12"/>
  <c r="T12" s="1"/>
  <c r="W12" s="1"/>
  <c r="F13"/>
  <c r="E13"/>
  <c r="D13"/>
  <c r="C13"/>
  <c r="H13" s="1"/>
  <c r="K13" s="1"/>
  <c r="F12"/>
  <c r="E12"/>
  <c r="D12"/>
  <c r="C12"/>
  <c r="H12" s="1"/>
  <c r="J16"/>
  <c r="I16"/>
  <c r="R16" i="77"/>
  <c r="Q16"/>
  <c r="G16"/>
  <c r="AF11" i="76"/>
  <c r="AF9"/>
  <c r="AF8"/>
  <c r="R14" i="78"/>
  <c r="Q14"/>
  <c r="P14"/>
  <c r="O14"/>
  <c r="T14" s="1"/>
  <c r="W14" s="1"/>
  <c r="F14"/>
  <c r="E14"/>
  <c r="D14"/>
  <c r="C14"/>
  <c r="H14" s="1"/>
  <c r="K14" s="1"/>
  <c r="R10"/>
  <c r="Q10"/>
  <c r="P10"/>
  <c r="O10"/>
  <c r="T10" s="1"/>
  <c r="W10" s="1"/>
  <c r="F10"/>
  <c r="E10"/>
  <c r="D10"/>
  <c r="C10"/>
  <c r="H10" s="1"/>
  <c r="K10" s="1"/>
  <c r="R15"/>
  <c r="Q15"/>
  <c r="P15"/>
  <c r="O15"/>
  <c r="T15" s="1"/>
  <c r="W15" s="1"/>
  <c r="F15"/>
  <c r="E15"/>
  <c r="D15"/>
  <c r="C15"/>
  <c r="H15" s="1"/>
  <c r="K15" s="1"/>
  <c r="N12" l="1"/>
  <c r="K12"/>
  <c r="S14"/>
  <c r="S13"/>
  <c r="S12"/>
  <c r="R11"/>
  <c r="Q11"/>
  <c r="P11"/>
  <c r="O11"/>
  <c r="T11" s="1"/>
  <c r="W11" s="1"/>
  <c r="S10"/>
  <c r="G15"/>
  <c r="G14"/>
  <c r="G13"/>
  <c r="F11"/>
  <c r="F16" s="1"/>
  <c r="E11"/>
  <c r="E16" s="1"/>
  <c r="D11"/>
  <c r="D16" s="1"/>
  <c r="C11"/>
  <c r="H11" s="1"/>
  <c r="K11" s="1"/>
  <c r="BE16"/>
  <c r="AW16"/>
  <c r="AE16"/>
  <c r="AD16"/>
  <c r="B16"/>
  <c r="BE15"/>
  <c r="AW15"/>
  <c r="BE14"/>
  <c r="AW14"/>
  <c r="BE12"/>
  <c r="AW12"/>
  <c r="G12"/>
  <c r="BE11"/>
  <c r="AW11"/>
  <c r="S11"/>
  <c r="G11"/>
  <c r="BE10"/>
  <c r="G10"/>
  <c r="R16"/>
  <c r="Q16"/>
  <c r="P16"/>
  <c r="A1"/>
  <c r="N15" i="77"/>
  <c r="M15"/>
  <c r="L15"/>
  <c r="K15"/>
  <c r="S15" s="1"/>
  <c r="N13"/>
  <c r="M13"/>
  <c r="L13"/>
  <c r="K13"/>
  <c r="P13" s="1"/>
  <c r="S13" s="1"/>
  <c r="N12"/>
  <c r="M12"/>
  <c r="L12"/>
  <c r="K12"/>
  <c r="S12" s="1"/>
  <c r="N11"/>
  <c r="M11"/>
  <c r="L11"/>
  <c r="K11"/>
  <c r="P11" s="1"/>
  <c r="N10"/>
  <c r="M10"/>
  <c r="L10"/>
  <c r="O10" s="1"/>
  <c r="K10"/>
  <c r="P10" s="1"/>
  <c r="S10" s="1"/>
  <c r="N9"/>
  <c r="M9"/>
  <c r="L9"/>
  <c r="K9"/>
  <c r="S9" s="1"/>
  <c r="C15"/>
  <c r="F15" s="1"/>
  <c r="H15" s="1"/>
  <c r="C13"/>
  <c r="F13" s="1"/>
  <c r="H13" s="1"/>
  <c r="C12"/>
  <c r="F12" s="1"/>
  <c r="H12" s="1"/>
  <c r="C11"/>
  <c r="F11" s="1"/>
  <c r="H11" s="1"/>
  <c r="C10"/>
  <c r="F10" s="1"/>
  <c r="H10" s="1"/>
  <c r="C9"/>
  <c r="F9" s="1"/>
  <c r="H9" s="1"/>
  <c r="A1"/>
  <c r="AY16"/>
  <c r="AQ16"/>
  <c r="Y16"/>
  <c r="X16"/>
  <c r="B16"/>
  <c r="AY15"/>
  <c r="AQ15"/>
  <c r="O15"/>
  <c r="AY14"/>
  <c r="AQ14"/>
  <c r="E14"/>
  <c r="O13"/>
  <c r="AY12"/>
  <c r="AQ12"/>
  <c r="E12"/>
  <c r="AY11"/>
  <c r="AQ11"/>
  <c r="E11"/>
  <c r="AY10"/>
  <c r="E10"/>
  <c r="M16"/>
  <c r="T16" i="78" l="1"/>
  <c r="W16" s="1"/>
  <c r="O12" i="77"/>
  <c r="N16"/>
  <c r="L16"/>
  <c r="S15" i="78"/>
  <c r="O16"/>
  <c r="H16"/>
  <c r="G9"/>
  <c r="G16" s="1"/>
  <c r="C16"/>
  <c r="S9"/>
  <c r="C16" i="77"/>
  <c r="O11"/>
  <c r="K16"/>
  <c r="E9"/>
  <c r="E13"/>
  <c r="O14"/>
  <c r="E15"/>
  <c r="O9"/>
  <c r="K16" i="78" l="1"/>
  <c r="N16"/>
  <c r="S16"/>
  <c r="E16" i="77"/>
  <c r="O16"/>
  <c r="F16"/>
  <c r="H16" s="1"/>
  <c r="P16"/>
  <c r="S16" s="1"/>
  <c r="A1" i="23" l="1"/>
  <c r="J12"/>
  <c r="J9"/>
  <c r="J10"/>
  <c r="AA11" i="76"/>
  <c r="Z11"/>
  <c r="X11"/>
  <c r="AA10"/>
  <c r="Z10"/>
  <c r="X10"/>
  <c r="AA9"/>
  <c r="Z9"/>
  <c r="Y9"/>
  <c r="X9"/>
  <c r="AA8"/>
  <c r="Z8"/>
  <c r="Y8"/>
  <c r="X8"/>
  <c r="J11"/>
  <c r="Q9"/>
  <c r="V8"/>
  <c r="O8"/>
  <c r="J9"/>
  <c r="J8"/>
  <c r="A1"/>
  <c r="J11" i="26"/>
  <c r="M11" s="1"/>
  <c r="O11" s="1"/>
  <c r="J12"/>
  <c r="J10"/>
  <c r="M10" s="1"/>
  <c r="O10" s="1"/>
  <c r="J9"/>
  <c r="E12"/>
  <c r="D12"/>
  <c r="C12"/>
  <c r="B12"/>
  <c r="G12" s="1"/>
  <c r="I12" s="1"/>
  <c r="E10"/>
  <c r="D10"/>
  <c r="C10"/>
  <c r="B10"/>
  <c r="G10" s="1"/>
  <c r="I10" s="1"/>
  <c r="E13"/>
  <c r="D9"/>
  <c r="D13" s="1"/>
  <c r="C9"/>
  <c r="B13"/>
  <c r="L11"/>
  <c r="L10"/>
  <c r="L9"/>
  <c r="A1"/>
  <c r="X13" i="25"/>
  <c r="X12"/>
  <c r="X10"/>
  <c r="T15"/>
  <c r="X9"/>
  <c r="O14"/>
  <c r="O13"/>
  <c r="O12"/>
  <c r="O10"/>
  <c r="O9"/>
  <c r="K15"/>
  <c r="F14"/>
  <c r="F13"/>
  <c r="F12"/>
  <c r="F10"/>
  <c r="F9"/>
  <c r="B15"/>
  <c r="J13" i="26" l="1"/>
  <c r="M9"/>
  <c r="O9" s="1"/>
  <c r="L12"/>
  <c r="M12"/>
  <c r="O12" s="1"/>
  <c r="L13"/>
  <c r="M13"/>
  <c r="O13" s="1"/>
  <c r="AN12" i="76"/>
  <c r="AO10"/>
  <c r="AO11"/>
  <c r="AO9"/>
  <c r="AO8"/>
  <c r="AK12"/>
  <c r="AM15" i="25"/>
  <c r="AE15"/>
  <c r="Y21"/>
  <c r="Z20"/>
  <c r="AL15" l="1"/>
  <c r="AN15" s="1"/>
  <c r="Z15"/>
  <c r="S15"/>
  <c r="Q15"/>
  <c r="H15"/>
  <c r="X14"/>
  <c r="AB9" i="76"/>
  <c r="Q11"/>
  <c r="Q10"/>
  <c r="AD15" i="25"/>
  <c r="AK15"/>
  <c r="AJ15"/>
  <c r="AH12" i="76"/>
  <c r="L11"/>
  <c r="L10"/>
  <c r="F11" i="26"/>
  <c r="J13" i="23"/>
  <c r="J11"/>
  <c r="AB15" i="25"/>
  <c r="Y15"/>
  <c r="X11"/>
  <c r="X8"/>
  <c r="AM12" i="76"/>
  <c r="AO12" s="1"/>
  <c r="AH15" i="25"/>
  <c r="AL12" i="76"/>
  <c r="AJ12"/>
  <c r="AI12"/>
  <c r="AB10" l="1"/>
  <c r="L8"/>
  <c r="Y20" i="25"/>
  <c r="X23" s="1"/>
  <c r="X21"/>
  <c r="V19"/>
  <c r="S10" i="76"/>
  <c r="J12"/>
  <c r="L9"/>
  <c r="AB11"/>
  <c r="AB8"/>
  <c r="M12"/>
  <c r="O12" s="1"/>
  <c r="X15" i="25"/>
  <c r="L12" i="76" l="1"/>
  <c r="J15" i="25"/>
  <c r="AG15" l="1"/>
  <c r="AE12" i="76" l="1"/>
  <c r="AF12" s="1"/>
  <c r="C12"/>
  <c r="D12"/>
  <c r="B12"/>
  <c r="D15" i="23"/>
  <c r="E15"/>
  <c r="C15"/>
  <c r="B15"/>
  <c r="O11" i="25" l="1"/>
  <c r="O8"/>
  <c r="F11"/>
  <c r="F12" i="26"/>
  <c r="F10"/>
  <c r="F9"/>
  <c r="AA12" i="76"/>
  <c r="Y12"/>
  <c r="S11"/>
  <c r="R12"/>
  <c r="S9"/>
  <c r="AD12"/>
  <c r="X12"/>
  <c r="O15" i="25" l="1"/>
  <c r="F8"/>
  <c r="L15"/>
  <c r="Q12" i="76"/>
  <c r="Z12"/>
  <c r="T12"/>
  <c r="V12" s="1"/>
  <c r="S8"/>
  <c r="S12" s="1"/>
  <c r="AB12" l="1"/>
  <c r="G13" i="26" l="1"/>
  <c r="I13" s="1"/>
  <c r="G15" i="25"/>
  <c r="H15" i="23"/>
  <c r="I15"/>
  <c r="C13" i="26"/>
  <c r="J8" i="23"/>
  <c r="J14"/>
  <c r="K15"/>
  <c r="M15" s="1"/>
  <c r="F13" i="26" l="1"/>
  <c r="J15" i="23"/>
  <c r="F15" i="25"/>
  <c r="P15"/>
  <c r="V18" s="1"/>
</calcChain>
</file>

<file path=xl/sharedStrings.xml><?xml version="1.0" encoding="utf-8"?>
<sst xmlns="http://schemas.openxmlformats.org/spreadsheetml/2006/main" count="372" uniqueCount="155">
  <si>
    <t>สำนักงานตรวจบัญชีสหกรณ์ที่ 9</t>
  </si>
  <si>
    <t>ไตรมาส</t>
  </si>
  <si>
    <t>รวม</t>
  </si>
  <si>
    <t>แผนงาน</t>
  </si>
  <si>
    <t>ภาพรวม</t>
  </si>
  <si>
    <t>ตรัง</t>
  </si>
  <si>
    <t>พัทลุง</t>
  </si>
  <si>
    <t>สตูล</t>
  </si>
  <si>
    <t>สตส.</t>
  </si>
  <si>
    <t>แห่ง</t>
  </si>
  <si>
    <t>(แห่ง)</t>
  </si>
  <si>
    <t>แผนงาน (แห่ง)</t>
  </si>
  <si>
    <t>จำนวน</t>
  </si>
  <si>
    <t>แผนงาน (ครั้ง)</t>
  </si>
  <si>
    <t>ผลงาน</t>
  </si>
  <si>
    <t>คน</t>
  </si>
  <si>
    <t>(คน)</t>
  </si>
  <si>
    <t>ร้อยละ</t>
  </si>
  <si>
    <t xml:space="preserve">พัทลุง </t>
  </si>
  <si>
    <t>แผนสะสม</t>
  </si>
  <si>
    <t xml:space="preserve"> </t>
  </si>
  <si>
    <t>ทำบัญชีได้</t>
  </si>
  <si>
    <t>ครั้ง</t>
  </si>
  <si>
    <t>สตท.</t>
  </si>
  <si>
    <t>เดือน</t>
  </si>
  <si>
    <t>ติดตามประเมินผลโครงการ</t>
  </si>
  <si>
    <t xml:space="preserve">สตูล  </t>
  </si>
  <si>
    <t>กิจกรรมกำกับแนะนำการจัดทำบัญชีและงบการเงิน</t>
  </si>
  <si>
    <t>การดำเนินงาน</t>
  </si>
  <si>
    <t>การติดตามประเมินผล (สตท.)</t>
  </si>
  <si>
    <t xml:space="preserve"> - ฝึกอบรมโปรแกรมระบบบัญชีสหกรณ์ครบวงจรแก่พนักงานบัญชี/ฝ่ายจัดการ  33 แห่ง  @ 1 คน  3 วัน</t>
  </si>
  <si>
    <t>จำนวนสหกรณ์</t>
  </si>
  <si>
    <t>สถานะการใช้โปรแกรม</t>
  </si>
  <si>
    <t>Full Pack</t>
  </si>
  <si>
    <t>Cad + Other</t>
  </si>
  <si>
    <t>Cad + HM</t>
  </si>
  <si>
    <t>Other</t>
  </si>
  <si>
    <t>HMO</t>
  </si>
  <si>
    <t>พอใช้</t>
  </si>
  <si>
    <t>ต้องปรับปรุง</t>
  </si>
  <si>
    <t>ไม่มีการควบคุมภายใน</t>
  </si>
  <si>
    <t>หลักสูตรขั้นกลาง</t>
  </si>
  <si>
    <t>หลักสูตรขั้นสูง</t>
  </si>
  <si>
    <t>จำนวนที่ติดตาม</t>
  </si>
  <si>
    <t>สามารถนำความรู้ไปใช้ประโยชน์</t>
  </si>
  <si>
    <t>นำความรู้ไปใช้ประโยชน์</t>
  </si>
  <si>
    <t>ทำงบการเงินได้</t>
  </si>
  <si>
    <t>สก./กลุ่มฯ มีชั้นคุณภาพดีขึ้น</t>
  </si>
  <si>
    <t>การบริหารจัดการด้านการเงินการบัญชีที่ดี</t>
  </si>
  <si>
    <t>หลักสูตรพื้นฐาน</t>
  </si>
  <si>
    <t>ชั้นคุณภาพ ณ 30 กันยายน 2557</t>
  </si>
  <si>
    <t>ไตรมาส 1</t>
  </si>
  <si>
    <t>ไตรมาสละ 1 ครั้ง</t>
  </si>
  <si>
    <t>ไตรมาส 3 - 4</t>
  </si>
  <si>
    <r>
      <t xml:space="preserve">สงขลา </t>
    </r>
    <r>
      <rPr>
        <sz val="11"/>
        <rFont val="Tahoma"/>
        <family val="2"/>
      </rPr>
      <t>(12 อำเภอ)</t>
    </r>
  </si>
  <si>
    <r>
      <t>สงขลา</t>
    </r>
    <r>
      <rPr>
        <sz val="11"/>
        <rFont val="Tahoma"/>
        <family val="2"/>
      </rPr>
      <t xml:space="preserve"> (12 อำเภอ)</t>
    </r>
  </si>
  <si>
    <t>จำนวนสก./กลุ่มฯ ที่มีชั้นคุณภาพต่ำกว่าระดับดี ณ 30 ก.ย. 57</t>
  </si>
  <si>
    <t>กิจกรรมอบรมกรรมการ</t>
  </si>
  <si>
    <t>หลักสูตรขั้นพื้นฐาน</t>
  </si>
  <si>
    <t>รวม 3 หลักสูตร</t>
  </si>
  <si>
    <t>แผน</t>
  </si>
  <si>
    <t>ผล</t>
  </si>
  <si>
    <t>แผนงาน (คน)</t>
  </si>
  <si>
    <t>การติดตามประเมินผลโครงการ (แห่ง)</t>
  </si>
  <si>
    <t xml:space="preserve">สงขลา </t>
  </si>
  <si>
    <t>สงขลา</t>
  </si>
  <si>
    <t>ความสามารถในการจัดทำบัญชี</t>
  </si>
  <si>
    <t>โครงการเสริมสร้างความเข้มแข็งและเป็นอิสระให้กับระบบสหกรณ์    (PC-RC1)  -- อบรมผู้ตรวจสอบกิจการ</t>
  </si>
  <si>
    <t>นราธิวาส</t>
  </si>
  <si>
    <t>ปัตตานี</t>
  </si>
  <si>
    <t>ยะลา</t>
  </si>
  <si>
    <t>1. กำหนดเป้าหมายรายสหกรณ์ โดยสหกรณ์เป้าหมายให้พิจารณาสหกรณ์ภาคเกษตรเป็นลำดับแรก หากไม่มีสามารถนำสหกรณ์นอกภาคเกษตรมาเป็นเป้าหมายได้</t>
  </si>
  <si>
    <t xml:space="preserve">    และต้องไม่ซ้ำหลักสูตร  (ขั้นพื้นฐาน  หรือขั้นกลาง  หรือขั้นสูง)</t>
  </si>
  <si>
    <t>2. ปรับปรุงระบบฐานข้อมูลผู้ตรวจสอบกิจการของสหกรณ์ที่รับผิดชอบผ่านระบบ Cad_Inspector ให้เป็นปัจจุบัน</t>
  </si>
  <si>
    <t>1. บูรณาการเป้าหมายร่วมกับจังหวัด</t>
  </si>
  <si>
    <t>2. ปรับหลักสูตรอบรมให้เหมาะสมกับกลุ่มเป้าหมายในพื้นที่</t>
  </si>
  <si>
    <t>3. ฝึกอบรมผู้ตรวจสอบกิจการหรือบุคคลที่สหกรณ์ส่งเข้าอบรมในแต่ละหลักสูตร  จำนวน 90 แห่ง @ 1 คน  3 วัน</t>
  </si>
  <si>
    <t>4. บันทึกข้อมูลผู้ตรวจสอบกิจการสหกรณ์ที่ได้รับการฝึกอบรม ผ่านระบบ Cad_Inspector ทันทีที่อบรมแล้วเสร็จให้ครบถ้วน</t>
  </si>
  <si>
    <t>5. ติดตามประเมินผลโครงการ  จำนวน 90 แห่ง</t>
  </si>
  <si>
    <t>กำกับแนะนำการควบคุมภายใน และบริหารความเสี่ยง</t>
  </si>
  <si>
    <t>อบรมผู้จัดการ/คณะกรรมการ (สตท.)</t>
  </si>
  <si>
    <t>1. คัดเลือกกลุ่มเป้าหมายรายสหกรณ์และกลุ่มเกษตรกร</t>
  </si>
  <si>
    <t>2. ประเมินระบบการควบคุมภายในและการบริหารความเสี่ยง</t>
  </si>
  <si>
    <t>3. กำกับแนะนำการควบคุมภายในและการบริหารความเสี่ยงแก่สหกรณ์และกลุ่มเกษตรกร</t>
  </si>
  <si>
    <t>1. ศึกษา วิเคราะห์ข้อมูลกลุ่มเป้าหมายในพื้นที่ เพื่อปรับหลักสูตรและกรณีศึกษา โดยเน้นเรื่องระบบการควบคุมภายในที่ดี และความเสี่ยง</t>
  </si>
  <si>
    <t xml:space="preserve">    ในการบริหารงานให้เหมาะสมกับพื้นที่</t>
  </si>
  <si>
    <t>2. ฝึกอบรมแก่ผู้จัดการหรือคณะกรรมการของสหกรณ์และกลุ่มเกษตรกร  โดยใช้กรณีศึกษา จำนวน 67 แห่ง @ 2 คน  2 วัน</t>
  </si>
  <si>
    <t>3. บันทึกข้อมูลผู้ผ่านการอบรมผ่านระบบ Coop_HR   ภายใน 3 วัน  นับแต่วันที่อบรมเสร็จ</t>
  </si>
  <si>
    <t>4. ติดตามประเมินผลโครงการ   จำนวน 67 แห่ง</t>
  </si>
  <si>
    <t>เดือนกันยายน</t>
  </si>
  <si>
    <t>เดือนตุลาคม</t>
  </si>
  <si>
    <t>โครงการพัฒนาประสิทธิภาพการบริหารจัดการด้านการเงินและการบัญชี ของสหกรณ์และกลุ่มเกษตรกร  (PC-RC3)</t>
  </si>
  <si>
    <t>ซักซ้อมการปฏิบัติงานจ้างเหมา</t>
  </si>
  <si>
    <t>ต.ค.</t>
  </si>
  <si>
    <t>พ.ย.</t>
  </si>
  <si>
    <t>ธ.ค.</t>
  </si>
  <si>
    <t>กิจกรรมอบรมเจ้าหน้าที่บัญชี/ผู้รับผิดชอบจัดทำบัญชี</t>
  </si>
  <si>
    <t>** ตรัง / พัทลุง  วางแผนกำกับแนะนำเดือนละครั้ง</t>
  </si>
  <si>
    <t>** สงขลา / สตูล  วางแผนกำกับแนะนำ 2 เดือน/ครั้ง</t>
  </si>
  <si>
    <t>1. กำหนดเป้าหมายรายสหกรณ์และกลุ่มเกษตรกร</t>
  </si>
  <si>
    <t>2. วิเคราะห์จุดอ่อนการควบคุมภายใน</t>
  </si>
  <si>
    <t>3. กำหนดแนวทางการเสริมสร้างการควบคุมภายใน เพื่อแก้ไขหรือลดจุดอ่อนที่เกิดขึ้น</t>
  </si>
  <si>
    <t>4. ซักซ้อมการปฏิบัติงานของเจ้าหน้าที่จ้างเหมา</t>
  </si>
  <si>
    <t>5. ฝึกอบรมกรรมการดำเนินงาน  40 แห่ง @ 2 คน  1 วัน</t>
  </si>
  <si>
    <t>6. ฝึกอบรมเจ้าหน้าที่บัญชีหรือผู้รับผิดชอบจัดทำบัญชี  40 แห่ง @ 1 คน  2 วัน</t>
  </si>
  <si>
    <t>ติดตามประเมินผลโครงการ  40 แห่ง</t>
  </si>
  <si>
    <t xml:space="preserve">    อาจพิจารณาเข้าปฏิบัติงาน 2 เดือน/ครั้ง)</t>
  </si>
  <si>
    <t>7. กำกับแนะนำการจัดทำบัญชีและงบการเงิน โดย จนท.จ้างเหมา เดือนละ 1 ครั้ง (เว้นแต่ สก./กลุ่มฯ ขนาดเล็กที่มีปริมาณธุรกิจไม่มาก</t>
  </si>
  <si>
    <t>ภายในเดือนกันยายน</t>
  </si>
  <si>
    <t>ภายในไตรมาส 1</t>
  </si>
  <si>
    <t>ทุกเดือน หรือ 2 เดือน/ครั้ง</t>
  </si>
  <si>
    <t>โครงการพัฒนาสหกรณ์ที่มอบหมายให้ผู้สอบบัญชีภาคเอกชน  (PC - RC4)</t>
  </si>
  <si>
    <t>สัมมนา/ฝึกอบรมผู้จัดการ/คณะกรรมการสหกรณ์</t>
  </si>
  <si>
    <t>1. คัดเลือกเป้าหมายรายสหกรณ์</t>
  </si>
  <si>
    <t>2. สัมมนา/ฝึกอบรม ผู้จัดการหรือคณะกรรมการของสหกรณ์ (35 แห่ง  @ 1 คน  2 วัน)</t>
  </si>
  <si>
    <t>3. บันทึกข้อมูลผู้ผ่านการอบรมผ่านระบบ Coop_HR  ภายใน 3 วัน  นับจากวันที่อบรมเสร็จ</t>
  </si>
  <si>
    <t>4. ติดตามประเมินผลโครงการ  จำนวน 35 แห่ง</t>
  </si>
  <si>
    <t>จำนวนวิสาหกิจชุมชน (กลุ่มใหม่)</t>
  </si>
  <si>
    <t>กิจกรรมวางรูปแบบบัญชีและระบบการควบคุมภายใน</t>
  </si>
  <si>
    <t xml:space="preserve">ติดตามประเมินผลโครงการ - สตท.  </t>
  </si>
  <si>
    <t>(30%)</t>
  </si>
  <si>
    <t>%</t>
  </si>
  <si>
    <t>รูปแบบที่ใช้</t>
  </si>
  <si>
    <t>Manual</t>
  </si>
  <si>
    <t>IT</t>
  </si>
  <si>
    <t>โครงการพัฒนาวิสาหกิจชุมชนใหม่  (PC - RC5)</t>
  </si>
  <si>
    <t>กิจกรรมสอนแนะการจัดทำบัญชี/งบทดลอง</t>
  </si>
  <si>
    <t>1. กำหนดเป้าหมายการพัฒนาวิสาหกิจชุมชน</t>
  </si>
  <si>
    <t>2. วางรูปแบบบัญชีและระบบการควบคุมภายใน</t>
  </si>
  <si>
    <t>3. สอนแนะการจัดทำบัญชี/งบทดลอง  31 แห่ง @ 4 ครั้ง โดยเจ้าหน้าที่จ้างเหมา</t>
  </si>
  <si>
    <t xml:space="preserve"> - ติดตามประเมินผลโครงการ  (30%  ของ  31 แห่ง)</t>
  </si>
  <si>
    <t>โครงการพัฒนาวิสาหกิจชุมชน - กลุ่มติดตามต่อเนื่อง  (PC - RC6)</t>
  </si>
  <si>
    <t>ติดตามและสอนแนะการจัดทำบัญชีและงบการเงิน</t>
  </si>
  <si>
    <t>ติดตามและสอนแนะการใช้ข้อมูลทางการเงินและการบัญชี</t>
  </si>
  <si>
    <t>ทำบัญชีได้แต่ทำงบการเงินไม่ได้</t>
  </si>
  <si>
    <t>กำหนดเป้าหมายการพัฒนาวิสาหกิจชุมชน</t>
  </si>
  <si>
    <t>1. กลุ่มที่จัดทำบัญชีได้ แต่ทำงบการเงินไม่ได้</t>
  </si>
  <si>
    <t xml:space="preserve"> - ติดตามและสอนแนะการจัดทำบัญชีและงบการเงิน  โดยเจ้าหน้าที่จ้างเหมา</t>
  </si>
  <si>
    <t>2. กลุ่มที่จัดทำบัญชีและงบการเงินได้</t>
  </si>
  <si>
    <t xml:space="preserve"> - ติดตามและสอนแนะการใช้ข้อมูลทางการเงินและการบัญชี  โดยเจ้าหน้าที่จ้างเหมา</t>
  </si>
  <si>
    <t xml:space="preserve"> - ติดตามประเมินผลโครงการ  (10%  ของ  24 แห่ง)</t>
  </si>
  <si>
    <t>การประเมินมาตรฐานการบัญชี</t>
  </si>
  <si>
    <t>มีมาตรฐาน</t>
  </si>
  <si>
    <t>ทำบัญชี+งบทดลองได้</t>
  </si>
  <si>
    <t>ทำไม่ได้</t>
  </si>
  <si>
    <t>โทรถามอีกทีเนื่องจากยังไม่มีรายงานในระบบ Cad_Plan</t>
  </si>
  <si>
    <t xml:space="preserve"> **  แผนอบรม เดือน ม.ค. 59</t>
  </si>
  <si>
    <t>ผลการติดตาม</t>
  </si>
  <si>
    <t>ทำบัญชีและงบการเงินได้</t>
  </si>
  <si>
    <t>ใช้ข้อมูลทางการเงินและการบัญชีได้</t>
  </si>
  <si>
    <t>เลิก/หยุดดำเนินงาน</t>
  </si>
  <si>
    <t>โครงการพัฒนาศักยภาพการใช้ข้อมูลทางบัญชีในการบริหารจัดการพืชเศรษฐกิจของสหกรณ์และกลุ่มเกษตรกรที่ทำธุรกิจรวบรวมและแปรรูป  (PC-RC2)</t>
  </si>
  <si>
    <t>ผลงาน (สอนแนะบัญชี)</t>
  </si>
  <si>
    <t>ผลงาน (สอนแนะงบการเงิน)</t>
  </si>
  <si>
    <t>รายละเอียดแผนการปฏิบัติงานและความก้าวหน้าผลการปฏิบัติงาน ณ วันที่  31  มกราคม 2559</t>
  </si>
</sst>
</file>

<file path=xl/styles.xml><?xml version="1.0" encoding="utf-8"?>
<styleSheet xmlns="http://schemas.openxmlformats.org/spreadsheetml/2006/main">
  <numFmts count="2">
    <numFmt numFmtId="187" formatCode="_(* #,##0_);_(* \(#,##0\);_(* &quot;-&quot;_);_(@_)"/>
    <numFmt numFmtId="188" formatCode="_(* #,##0.00_);_(* \(#,##0.00\);_(* &quot;-&quot;??_);_(@_)"/>
  </numFmts>
  <fonts count="4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2"/>
      <name val="Tahoma"/>
      <family val="2"/>
    </font>
    <font>
      <b/>
      <sz val="11"/>
      <color rgb="FF0000FF"/>
      <name val="Tahoma"/>
      <family val="2"/>
    </font>
    <font>
      <b/>
      <sz val="11"/>
      <color rgb="FFFA7D00"/>
      <name val="Tahoma"/>
      <family val="2"/>
      <charset val="222"/>
      <scheme val="minor"/>
    </font>
    <font>
      <b/>
      <sz val="11"/>
      <color indexed="10"/>
      <name val="Tahoma"/>
      <family val="2"/>
    </font>
    <font>
      <b/>
      <u/>
      <sz val="11"/>
      <color rgb="FFC00000"/>
      <name val="Tahoma"/>
      <family val="2"/>
    </font>
    <font>
      <b/>
      <sz val="11"/>
      <color rgb="FFC00000"/>
      <name val="Tahoma"/>
      <family val="2"/>
    </font>
    <font>
      <b/>
      <u/>
      <sz val="11"/>
      <color indexed="10"/>
      <name val="Tahoma"/>
      <family val="2"/>
    </font>
    <font>
      <b/>
      <u/>
      <sz val="11"/>
      <color rgb="FF0000FF"/>
      <name val="Tahoma"/>
      <family val="2"/>
    </font>
    <font>
      <b/>
      <sz val="11"/>
      <color rgb="FFFF0000"/>
      <name val="Tahoma"/>
      <family val="2"/>
    </font>
    <font>
      <sz val="11"/>
      <color rgb="FFC00000"/>
      <name val="Tahoma"/>
      <family val="2"/>
    </font>
    <font>
      <b/>
      <sz val="10"/>
      <color rgb="FF0000FF"/>
      <name val="Tahoma"/>
      <family val="2"/>
    </font>
    <font>
      <b/>
      <u/>
      <sz val="11"/>
      <name val="Tahoma"/>
      <family val="2"/>
    </font>
    <font>
      <b/>
      <u/>
      <sz val="11"/>
      <color rgb="FF00B050"/>
      <name val="Tahoma"/>
      <family val="2"/>
    </font>
    <font>
      <b/>
      <sz val="11"/>
      <color rgb="FF333300"/>
      <name val="Tahoma"/>
      <family val="2"/>
    </font>
    <font>
      <b/>
      <sz val="11"/>
      <color indexed="23"/>
      <name val="Tahoma"/>
      <family val="2"/>
    </font>
    <font>
      <b/>
      <i/>
      <sz val="11"/>
      <color rgb="FF0000CC"/>
      <name val="Tahoma"/>
      <family val="2"/>
    </font>
    <font>
      <b/>
      <i/>
      <u/>
      <sz val="11"/>
      <color rgb="FFC0000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1"/>
      <color theme="0"/>
      <name val="Tahoma"/>
      <family val="2"/>
    </font>
    <font>
      <b/>
      <sz val="10"/>
      <color rgb="FFC00000"/>
      <name val="Tahoma"/>
      <family val="2"/>
    </font>
    <font>
      <sz val="9"/>
      <name val="Tahoma"/>
      <family val="2"/>
    </font>
    <font>
      <sz val="11"/>
      <color theme="0"/>
      <name val="Tahoma"/>
      <family val="2"/>
      <charset val="222"/>
      <scheme val="minor"/>
    </font>
    <font>
      <u/>
      <sz val="11"/>
      <color rgb="FFC00000"/>
      <name val="Tahoma"/>
      <family val="2"/>
    </font>
    <font>
      <sz val="11"/>
      <color indexed="12"/>
      <name val="Tahoma"/>
      <family val="2"/>
    </font>
    <font>
      <sz val="11"/>
      <color indexed="10"/>
      <name val="Tahoma"/>
      <family val="2"/>
    </font>
    <font>
      <u/>
      <sz val="11"/>
      <color indexed="12"/>
      <name val="Tahoma"/>
      <family val="2"/>
    </font>
    <font>
      <sz val="10"/>
      <name val="Tahoma"/>
      <family val="2"/>
    </font>
    <font>
      <b/>
      <sz val="11"/>
      <color theme="2" tint="-0.749992370372631"/>
      <name val="Tahoma"/>
      <family val="2"/>
    </font>
    <font>
      <b/>
      <strike/>
      <sz val="11"/>
      <color indexed="57"/>
      <name val="Tahoma"/>
      <family val="2"/>
    </font>
    <font>
      <b/>
      <sz val="11"/>
      <color indexed="57"/>
      <name val="Tahoma"/>
      <family val="2"/>
    </font>
    <font>
      <b/>
      <sz val="11"/>
      <color indexed="20"/>
      <name val="Tahoma"/>
      <family val="2"/>
    </font>
    <font>
      <sz val="11"/>
      <color indexed="57"/>
      <name val="Tahoma"/>
      <family val="2"/>
    </font>
    <font>
      <sz val="11"/>
      <color theme="1"/>
      <name val="Tahoma"/>
      <family val="2"/>
    </font>
    <font>
      <sz val="11"/>
      <color rgb="FF0000FF"/>
      <name val="Tahoma"/>
      <family val="2"/>
    </font>
    <font>
      <sz val="10"/>
      <color rgb="FFC00000"/>
      <name val="Tahoma"/>
      <family val="2"/>
    </font>
    <font>
      <b/>
      <sz val="9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15"/>
      </patternFill>
    </fill>
    <fill>
      <patternFill patternType="gray0625">
        <fgColor indexed="2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rgb="FF00FF00"/>
        <bgColor indexed="64"/>
      </patternFill>
    </fill>
    <fill>
      <patternFill patternType="gray0625">
        <fgColor theme="0"/>
        <bgColor theme="9" tint="0.79995117038483843"/>
      </patternFill>
    </fill>
    <fill>
      <patternFill patternType="gray0625">
        <fgColor theme="0"/>
        <bgColor theme="2" tint="-0.24994659260841701"/>
      </patternFill>
    </fill>
    <fill>
      <patternFill patternType="solid">
        <fgColor rgb="FFCC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gray0625">
        <fgColor rgb="FF99FFCC"/>
        <bgColor auto="1"/>
      </patternFill>
    </fill>
    <fill>
      <patternFill patternType="solid">
        <fgColor rgb="FF66FF33"/>
        <bgColor indexed="64"/>
      </patternFill>
    </fill>
    <fill>
      <patternFill patternType="solid">
        <fgColor theme="6"/>
      </patternFill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35"/>
      </patternFill>
    </fill>
    <fill>
      <patternFill patternType="solid">
        <fgColor rgb="FFFF33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0"/>
      </left>
      <right/>
      <top style="mediumDashDotDot">
        <color indexed="60"/>
      </top>
      <bottom/>
      <diagonal/>
    </border>
    <border>
      <left/>
      <right/>
      <top style="mediumDashDotDot">
        <color indexed="60"/>
      </top>
      <bottom/>
      <diagonal/>
    </border>
    <border>
      <left/>
      <right style="mediumDashDotDot">
        <color indexed="60"/>
      </right>
      <top style="mediumDashDotDot">
        <color indexed="60"/>
      </top>
      <bottom/>
      <diagonal/>
    </border>
    <border>
      <left style="mediumDashDotDot">
        <color indexed="60"/>
      </left>
      <right/>
      <top/>
      <bottom/>
      <diagonal/>
    </border>
    <border>
      <left/>
      <right style="mediumDashDotDot">
        <color indexed="60"/>
      </right>
      <top/>
      <bottom/>
      <diagonal/>
    </border>
    <border>
      <left style="mediumDashDotDot">
        <color indexed="60"/>
      </left>
      <right/>
      <top/>
      <bottom style="mediumDashDotDot">
        <color indexed="60"/>
      </bottom>
      <diagonal/>
    </border>
    <border>
      <left/>
      <right/>
      <top/>
      <bottom style="mediumDashDotDot">
        <color indexed="60"/>
      </bottom>
      <diagonal/>
    </border>
    <border>
      <left/>
      <right style="mediumDashDotDot">
        <color indexed="60"/>
      </right>
      <top/>
      <bottom style="mediumDashDotDot">
        <color indexed="6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DashDotDot">
        <color rgb="FFC00000"/>
      </right>
      <top/>
      <bottom/>
      <diagonal/>
    </border>
    <border>
      <left style="mediumDashDotDot">
        <color rgb="FFC00000"/>
      </left>
      <right/>
      <top style="mediumDashDotDot">
        <color rgb="FFC00000"/>
      </top>
      <bottom/>
      <diagonal/>
    </border>
    <border>
      <left/>
      <right/>
      <top style="mediumDashDotDot">
        <color rgb="FFC00000"/>
      </top>
      <bottom/>
      <diagonal/>
    </border>
    <border>
      <left/>
      <right style="mediumDashDotDot">
        <color rgb="FFC00000"/>
      </right>
      <top style="mediumDashDotDot">
        <color rgb="FFC00000"/>
      </top>
      <bottom/>
      <diagonal/>
    </border>
    <border>
      <left style="mediumDashDotDot">
        <color rgb="FFC00000"/>
      </left>
      <right/>
      <top/>
      <bottom/>
      <diagonal/>
    </border>
    <border>
      <left style="mediumDashDotDot">
        <color rgb="FFC00000"/>
      </left>
      <right/>
      <top/>
      <bottom style="mediumDashDotDot">
        <color rgb="FFC00000"/>
      </bottom>
      <diagonal/>
    </border>
    <border>
      <left/>
      <right/>
      <top/>
      <bottom style="mediumDashDotDot">
        <color rgb="FFC00000"/>
      </bottom>
      <diagonal/>
    </border>
    <border>
      <left/>
      <right style="mediumDashDotDot">
        <color rgb="FFC00000"/>
      </right>
      <top/>
      <bottom style="mediumDashDotDot">
        <color rgb="FFC00000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2" tint="-0.89996032593768116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theme="2" tint="-0.89996032593768116"/>
      </bottom>
      <diagonal/>
    </border>
    <border>
      <left style="thin">
        <color indexed="64"/>
      </left>
      <right style="thin">
        <color indexed="64"/>
      </right>
      <top style="hair">
        <color theme="2" tint="-0.89996032593768116"/>
      </top>
      <bottom style="hair">
        <color theme="2" tint="-0.89996032593768116"/>
      </bottom>
      <diagonal/>
    </border>
    <border>
      <left style="thin">
        <color indexed="64"/>
      </left>
      <right style="double">
        <color indexed="64"/>
      </right>
      <top style="hair">
        <color theme="2" tint="-0.89996032593768116"/>
      </top>
      <bottom style="hair">
        <color theme="2" tint="-0.89996032593768116"/>
      </bottom>
      <diagonal/>
    </border>
    <border>
      <left style="thin">
        <color indexed="64"/>
      </left>
      <right style="thin">
        <color indexed="64"/>
      </right>
      <top style="hair">
        <color theme="2" tint="-0.89996032593768116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theme="2" tint="-0.89996032593768116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DashDotDot">
        <color rgb="FFC00000"/>
      </right>
      <top/>
      <bottom style="hair">
        <color rgb="FFC00000"/>
      </bottom>
      <diagonal/>
    </border>
    <border>
      <left/>
      <right/>
      <top/>
      <bottom style="hair">
        <color rgb="FFC00000"/>
      </bottom>
      <diagonal/>
    </border>
    <border>
      <left/>
      <right/>
      <top style="hair">
        <color rgb="FFC00000"/>
      </top>
      <bottom/>
      <diagonal/>
    </border>
    <border>
      <left/>
      <right style="mediumDashDotDot">
        <color rgb="FFC00000"/>
      </right>
      <top style="hair">
        <color rgb="FFC00000"/>
      </top>
      <bottom/>
      <diagonal/>
    </border>
    <border>
      <left/>
      <right/>
      <top style="hair">
        <color indexed="60"/>
      </top>
      <bottom/>
      <diagonal/>
    </border>
    <border>
      <left/>
      <right style="mediumDashDotDot">
        <color indexed="60"/>
      </right>
      <top style="hair">
        <color indexed="60"/>
      </top>
      <bottom/>
      <diagonal/>
    </border>
    <border>
      <left/>
      <right/>
      <top/>
      <bottom style="hair">
        <color indexed="60"/>
      </bottom>
      <diagonal/>
    </border>
    <border>
      <left/>
      <right style="mediumDashDotDot">
        <color indexed="60"/>
      </right>
      <top/>
      <bottom style="hair">
        <color indexed="60"/>
      </bottom>
      <diagonal/>
    </border>
    <border>
      <left style="thin">
        <color indexed="64"/>
      </left>
      <right style="thin">
        <color indexed="64"/>
      </right>
      <top/>
      <bottom style="hair">
        <color theme="2" tint="-0.89996032593768116"/>
      </bottom>
      <diagonal/>
    </border>
    <border>
      <left style="thin">
        <color indexed="64"/>
      </left>
      <right style="double">
        <color indexed="64"/>
      </right>
      <top/>
      <bottom style="hair">
        <color theme="2" tint="-0.89996032593768116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88" fontId="1" fillId="0" borderId="0" applyFont="0" applyFill="0" applyBorder="0" applyAlignment="0" applyProtection="0"/>
    <xf numFmtId="0" fontId="8" fillId="9" borderId="35" applyNumberFormat="0" applyAlignment="0" applyProtection="0"/>
    <xf numFmtId="0" fontId="28" fillId="18" borderId="0" applyNumberFormat="0" applyBorder="0" applyAlignment="0" applyProtection="0"/>
  </cellStyleXfs>
  <cellXfs count="651">
    <xf numFmtId="0" fontId="0" fillId="0" borderId="0" xfId="0"/>
    <xf numFmtId="1" fontId="4" fillId="5" borderId="5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187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4" fillId="6" borderId="5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3" fontId="4" fillId="5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3" fontId="4" fillId="5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/>
    </xf>
    <xf numFmtId="1" fontId="4" fillId="6" borderId="6" xfId="0" applyNumberFormat="1" applyFont="1" applyFill="1" applyBorder="1" applyAlignment="1">
      <alignment horizontal="center" vertical="center"/>
    </xf>
    <xf numFmtId="1" fontId="4" fillId="5" borderId="28" xfId="1" applyNumberFormat="1" applyFont="1" applyFill="1" applyBorder="1" applyAlignment="1">
      <alignment horizontal="center" vertical="center"/>
    </xf>
    <xf numFmtId="1" fontId="5" fillId="5" borderId="3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5" fillId="6" borderId="10" xfId="0" applyNumberFormat="1" applyFont="1" applyFill="1" applyBorder="1" applyAlignment="1">
      <alignment horizontal="center" vertical="center"/>
    </xf>
    <xf numFmtId="1" fontId="5" fillId="5" borderId="32" xfId="0" applyNumberFormat="1" applyFont="1" applyFill="1" applyBorder="1" applyAlignment="1">
      <alignment horizontal="center" vertical="center"/>
    </xf>
    <xf numFmtId="1" fontId="5" fillId="6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0" borderId="4" xfId="0" applyFont="1" applyFill="1" applyBorder="1" applyAlignment="1">
      <alignment horizontal="center" vertical="center"/>
    </xf>
    <xf numFmtId="1" fontId="5" fillId="6" borderId="14" xfId="0" applyNumberFormat="1" applyFont="1" applyFill="1" applyBorder="1" applyAlignment="1">
      <alignment horizontal="center" vertical="center"/>
    </xf>
    <xf numFmtId="3" fontId="5" fillId="5" borderId="7" xfId="0" applyNumberFormat="1" applyFont="1" applyFill="1" applyBorder="1" applyAlignment="1">
      <alignment horizontal="center" vertical="center"/>
    </xf>
    <xf numFmtId="1" fontId="5" fillId="6" borderId="7" xfId="0" applyNumberFormat="1" applyFont="1" applyFill="1" applyBorder="1" applyAlignment="1">
      <alignment horizontal="center" vertical="center"/>
    </xf>
    <xf numFmtId="1" fontId="5" fillId="5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6" borderId="7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4" fillId="6" borderId="27" xfId="0" applyNumberFormat="1" applyFont="1" applyFill="1" applyBorder="1" applyAlignment="1">
      <alignment horizontal="center" vertical="center"/>
    </xf>
    <xf numFmtId="1" fontId="4" fillId="5" borderId="44" xfId="1" applyNumberFormat="1" applyFont="1" applyFill="1" applyBorder="1" applyAlignment="1">
      <alignment horizontal="center" vertical="center"/>
    </xf>
    <xf numFmtId="1" fontId="4" fillId="6" borderId="29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" fontId="5" fillId="5" borderId="4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38" xfId="0" applyFont="1" applyBorder="1"/>
    <xf numFmtId="0" fontId="5" fillId="0" borderId="39" xfId="0" applyFont="1" applyBorder="1"/>
    <xf numFmtId="0" fontId="5" fillId="0" borderId="42" xfId="0" applyFont="1" applyBorder="1"/>
    <xf numFmtId="0" fontId="5" fillId="0" borderId="43" xfId="0" applyFont="1" applyBorder="1"/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" fontId="4" fillId="0" borderId="4" xfId="0" applyNumberFormat="1" applyFont="1" applyFill="1" applyBorder="1" applyAlignment="1">
      <alignment horizontal="center" vertical="center"/>
    </xf>
    <xf numFmtId="17" fontId="4" fillId="0" borderId="5" xfId="0" applyNumberFormat="1" applyFont="1" applyFill="1" applyBorder="1" applyAlignment="1">
      <alignment horizontal="center" vertical="center"/>
    </xf>
    <xf numFmtId="17" fontId="4" fillId="0" borderId="6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1" fontId="5" fillId="5" borderId="4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1" fontId="5" fillId="5" borderId="6" xfId="0" applyNumberFormat="1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/>
    </xf>
    <xf numFmtId="2" fontId="5" fillId="5" borderId="7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23" xfId="0" applyFont="1" applyBorder="1"/>
    <xf numFmtId="0" fontId="5" fillId="0" borderId="26" xfId="0" applyFont="1" applyBorder="1"/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/>
    <xf numFmtId="0" fontId="9" fillId="0" borderId="0" xfId="0" applyFont="1" applyAlignment="1">
      <alignment vertical="center"/>
    </xf>
    <xf numFmtId="0" fontId="13" fillId="0" borderId="38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" fontId="5" fillId="0" borderId="0" xfId="0" applyNumberFormat="1" applyFont="1"/>
    <xf numFmtId="0" fontId="7" fillId="0" borderId="0" xfId="0" applyFont="1"/>
    <xf numFmtId="0" fontId="14" fillId="0" borderId="5" xfId="0" applyFont="1" applyFill="1" applyBorder="1" applyAlignment="1">
      <alignment horizontal="center" vertical="center"/>
    </xf>
    <xf numFmtId="0" fontId="5" fillId="0" borderId="21" xfId="0" applyFont="1" applyBorder="1" applyAlignment="1"/>
    <xf numFmtId="0" fontId="5" fillId="0" borderId="0" xfId="0" applyFont="1" applyBorder="1" applyAlignment="1"/>
    <xf numFmtId="0" fontId="4" fillId="0" borderId="49" xfId="0" applyFont="1" applyFill="1" applyBorder="1" applyAlignment="1">
      <alignment horizontal="center" vertical="center"/>
    </xf>
    <xf numFmtId="1" fontId="4" fillId="6" borderId="49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5" fillId="12" borderId="7" xfId="0" applyFont="1" applyFill="1" applyBorder="1" applyAlignment="1">
      <alignment horizontal="center" vertical="center"/>
    </xf>
    <xf numFmtId="17" fontId="4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>
      <alignment horizontal="center" vertical="center"/>
    </xf>
    <xf numFmtId="3" fontId="4" fillId="5" borderId="49" xfId="0" applyNumberFormat="1" applyFont="1" applyFill="1" applyBorder="1" applyAlignment="1">
      <alignment horizontal="center" vertical="center"/>
    </xf>
    <xf numFmtId="1" fontId="4" fillId="13" borderId="4" xfId="0" applyNumberFormat="1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1" fontId="4" fillId="13" borderId="5" xfId="0" applyNumberFormat="1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1" fontId="4" fillId="13" borderId="49" xfId="0" applyNumberFormat="1" applyFont="1" applyFill="1" applyBorder="1" applyAlignment="1">
      <alignment horizontal="center" vertical="center"/>
    </xf>
    <xf numFmtId="0" fontId="4" fillId="13" borderId="49" xfId="0" applyFont="1" applyFill="1" applyBorder="1" applyAlignment="1">
      <alignment horizontal="center" vertical="center"/>
    </xf>
    <xf numFmtId="1" fontId="5" fillId="13" borderId="7" xfId="0" applyNumberFormat="1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6" fillId="9" borderId="3" xfId="2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7" fillId="0" borderId="0" xfId="0" applyFont="1"/>
    <xf numFmtId="0" fontId="14" fillId="0" borderId="0" xfId="0" applyFont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5" xfId="0" applyFont="1" applyBorder="1"/>
    <xf numFmtId="0" fontId="5" fillId="0" borderId="7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/>
    <xf numFmtId="3" fontId="4" fillId="0" borderId="4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2" fontId="4" fillId="15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15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2" fontId="4" fillId="15" borderId="4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4" fillId="0" borderId="0" xfId="0" applyFont="1" applyAlignment="1">
      <alignment horizontal="left"/>
    </xf>
    <xf numFmtId="0" fontId="4" fillId="0" borderId="0" xfId="0" applyFont="1"/>
    <xf numFmtId="0" fontId="12" fillId="0" borderId="0" xfId="0" applyFont="1" applyBorder="1"/>
    <xf numFmtId="0" fontId="12" fillId="0" borderId="0" xfId="0" applyFont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7" fillId="9" borderId="51" xfId="2" applyFont="1" applyBorder="1" applyAlignment="1">
      <alignment horizontal="center" vertical="center"/>
    </xf>
    <xf numFmtId="0" fontId="17" fillId="0" borderId="0" xfId="0" applyFont="1" applyAlignment="1"/>
    <xf numFmtId="0" fontId="5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61" xfId="0" applyFont="1" applyBorder="1" applyAlignment="1">
      <alignment vertical="center"/>
    </xf>
    <xf numFmtId="3" fontId="4" fillId="0" borderId="61" xfId="0" applyNumberFormat="1" applyFont="1" applyFill="1" applyBorder="1" applyAlignment="1">
      <alignment horizontal="center" vertical="center"/>
    </xf>
    <xf numFmtId="17" fontId="4" fillId="0" borderId="61" xfId="0" applyNumberFormat="1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87" fontId="20" fillId="0" borderId="13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7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7" fillId="9" borderId="3" xfId="2" applyFont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/>
    </xf>
    <xf numFmtId="1" fontId="4" fillId="5" borderId="4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38" xfId="0" applyFont="1" applyBorder="1" applyAlignment="1"/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9" fillId="0" borderId="0" xfId="0" applyFont="1" applyFill="1"/>
    <xf numFmtId="0" fontId="5" fillId="0" borderId="49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7" fontId="4" fillId="0" borderId="46" xfId="0" applyNumberFormat="1" applyFont="1" applyFill="1" applyBorder="1" applyAlignment="1">
      <alignment horizontal="center" vertical="center"/>
    </xf>
    <xf numFmtId="17" fontId="4" fillId="0" borderId="49" xfId="0" applyNumberFormat="1" applyFont="1" applyFill="1" applyBorder="1" applyAlignment="1">
      <alignment horizontal="center" vertical="center"/>
    </xf>
    <xf numFmtId="0" fontId="16" fillId="9" borderId="3" xfId="2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" fontId="5" fillId="0" borderId="3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3" fontId="4" fillId="0" borderId="62" xfId="0" applyNumberFormat="1" applyFont="1" applyFill="1" applyBorder="1" applyAlignment="1">
      <alignment horizontal="center" vertical="center"/>
    </xf>
    <xf numFmtId="3" fontId="4" fillId="6" borderId="62" xfId="0" applyNumberFormat="1" applyFont="1" applyFill="1" applyBorder="1" applyAlignment="1">
      <alignment horizontal="center" vertical="center"/>
    </xf>
    <xf numFmtId="3" fontId="4" fillId="5" borderId="62" xfId="0" applyNumberFormat="1" applyFont="1" applyFill="1" applyBorder="1" applyAlignment="1">
      <alignment horizontal="center" vertical="center"/>
    </xf>
    <xf numFmtId="1" fontId="4" fillId="5" borderId="62" xfId="0" applyNumberFormat="1" applyFont="1" applyFill="1" applyBorder="1" applyAlignment="1">
      <alignment horizontal="center" vertical="center"/>
    </xf>
    <xf numFmtId="1" fontId="4" fillId="5" borderId="63" xfId="0" applyNumberFormat="1" applyFont="1" applyFill="1" applyBorder="1" applyAlignment="1">
      <alignment horizontal="center" vertical="center"/>
    </xf>
    <xf numFmtId="0" fontId="5" fillId="0" borderId="64" xfId="0" applyFont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3" fontId="4" fillId="0" borderId="64" xfId="0" applyNumberFormat="1" applyFont="1" applyFill="1" applyBorder="1" applyAlignment="1">
      <alignment horizontal="center" vertical="center"/>
    </xf>
    <xf numFmtId="3" fontId="4" fillId="6" borderId="64" xfId="0" applyNumberFormat="1" applyFont="1" applyFill="1" applyBorder="1" applyAlignment="1">
      <alignment horizontal="center" vertical="center"/>
    </xf>
    <xf numFmtId="3" fontId="4" fillId="5" borderId="64" xfId="0" applyNumberFormat="1" applyFont="1" applyFill="1" applyBorder="1" applyAlignment="1">
      <alignment horizontal="center" vertical="center"/>
    </xf>
    <xf numFmtId="1" fontId="4" fillId="5" borderId="65" xfId="0" applyNumberFormat="1" applyFont="1" applyFill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5" fillId="0" borderId="66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3" fontId="4" fillId="0" borderId="66" xfId="0" applyNumberFormat="1" applyFont="1" applyFill="1" applyBorder="1" applyAlignment="1">
      <alignment horizontal="center" vertical="center"/>
    </xf>
    <xf numFmtId="3" fontId="4" fillId="6" borderId="66" xfId="0" applyNumberFormat="1" applyFont="1" applyFill="1" applyBorder="1" applyAlignment="1">
      <alignment horizontal="center" vertical="center"/>
    </xf>
    <xf numFmtId="3" fontId="4" fillId="5" borderId="66" xfId="0" applyNumberFormat="1" applyFont="1" applyFill="1" applyBorder="1" applyAlignment="1">
      <alignment horizontal="center" vertical="center"/>
    </xf>
    <xf numFmtId="1" fontId="4" fillId="5" borderId="66" xfId="0" applyNumberFormat="1" applyFont="1" applyFill="1" applyBorder="1" applyAlignment="1">
      <alignment horizontal="center" vertical="center"/>
    </xf>
    <xf numFmtId="1" fontId="4" fillId="5" borderId="67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1" fontId="4" fillId="0" borderId="70" xfId="0" applyNumberFormat="1" applyFont="1" applyFill="1" applyBorder="1" applyAlignment="1">
      <alignment horizontal="center" vertical="center"/>
    </xf>
    <xf numFmtId="1" fontId="4" fillId="5" borderId="71" xfId="1" applyNumberFormat="1" applyFont="1" applyFill="1" applyBorder="1" applyAlignment="1">
      <alignment horizontal="center" vertical="center"/>
    </xf>
    <xf numFmtId="1" fontId="4" fillId="0" borderId="72" xfId="0" applyNumberFormat="1" applyFont="1" applyFill="1" applyBorder="1" applyAlignment="1">
      <alignment horizontal="center" vertical="center"/>
    </xf>
    <xf numFmtId="1" fontId="4" fillId="0" borderId="73" xfId="0" applyNumberFormat="1" applyFont="1" applyFill="1" applyBorder="1" applyAlignment="1">
      <alignment horizontal="center" vertical="center"/>
    </xf>
    <xf numFmtId="1" fontId="4" fillId="0" borderId="49" xfId="0" applyNumberFormat="1" applyFont="1" applyFill="1" applyBorder="1" applyAlignment="1">
      <alignment horizontal="center" vertical="center"/>
    </xf>
    <xf numFmtId="1" fontId="5" fillId="0" borderId="47" xfId="0" applyNumberFormat="1" applyFont="1" applyFill="1" applyBorder="1" applyAlignment="1">
      <alignment horizontal="center" vertical="center"/>
    </xf>
    <xf numFmtId="1" fontId="5" fillId="5" borderId="74" xfId="0" applyNumberFormat="1" applyFont="1" applyFill="1" applyBorder="1" applyAlignment="1">
      <alignment horizontal="center" vertical="center"/>
    </xf>
    <xf numFmtId="1" fontId="23" fillId="5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/>
    <xf numFmtId="1" fontId="14" fillId="0" borderId="0" xfId="0" applyNumberFormat="1" applyFont="1"/>
    <xf numFmtId="0" fontId="14" fillId="0" borderId="0" xfId="0" applyFont="1"/>
    <xf numFmtId="1" fontId="25" fillId="0" borderId="0" xfId="0" applyNumberFormat="1" applyFont="1"/>
    <xf numFmtId="0" fontId="25" fillId="0" borderId="0" xfId="0" applyFont="1"/>
    <xf numFmtId="1" fontId="25" fillId="0" borderId="0" xfId="0" applyNumberFormat="1" applyFont="1" applyBorder="1"/>
    <xf numFmtId="0" fontId="16" fillId="9" borderId="7" xfId="2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6" fillId="9" borderId="3" xfId="2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1" fontId="5" fillId="16" borderId="4" xfId="0" applyNumberFormat="1" applyFont="1" applyFill="1" applyBorder="1" applyAlignment="1">
      <alignment horizontal="center" vertical="center"/>
    </xf>
    <xf numFmtId="1" fontId="5" fillId="16" borderId="5" xfId="0" applyNumberFormat="1" applyFont="1" applyFill="1" applyBorder="1" applyAlignment="1">
      <alignment horizontal="center" vertical="center"/>
    </xf>
    <xf numFmtId="1" fontId="5" fillId="16" borderId="6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5" fillId="8" borderId="3" xfId="0" applyNumberFormat="1" applyFont="1" applyFill="1" applyBorder="1" applyAlignment="1">
      <alignment horizontal="center" vertical="center"/>
    </xf>
    <xf numFmtId="1" fontId="5" fillId="11" borderId="3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0" fontId="5" fillId="17" borderId="55" xfId="0" applyFont="1" applyFill="1" applyBorder="1" applyAlignment="1">
      <alignment horizontal="center" vertical="center"/>
    </xf>
    <xf numFmtId="2" fontId="5" fillId="10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2" fontId="5" fillId="11" borderId="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2" fontId="4" fillId="0" borderId="46" xfId="0" applyNumberFormat="1" applyFont="1" applyFill="1" applyBorder="1" applyAlignment="1">
      <alignment horizontal="center" vertical="center"/>
    </xf>
    <xf numFmtId="2" fontId="4" fillId="0" borderId="49" xfId="0" applyNumberFormat="1" applyFont="1" applyFill="1" applyBorder="1" applyAlignment="1">
      <alignment horizontal="center" vertical="center"/>
    </xf>
    <xf numFmtId="2" fontId="5" fillId="12" borderId="7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7" fillId="0" borderId="0" xfId="0" applyFont="1"/>
    <xf numFmtId="0" fontId="24" fillId="0" borderId="0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0" fontId="11" fillId="0" borderId="20" xfId="0" applyFont="1" applyBorder="1"/>
    <xf numFmtId="0" fontId="4" fillId="0" borderId="14" xfId="0" applyFont="1" applyBorder="1" applyAlignment="1">
      <alignment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6" borderId="75" xfId="0" applyNumberFormat="1" applyFont="1" applyFill="1" applyBorder="1" applyAlignment="1">
      <alignment horizontal="center" vertical="center"/>
    </xf>
    <xf numFmtId="3" fontId="4" fillId="5" borderId="14" xfId="0" applyNumberFormat="1" applyFont="1" applyFill="1" applyBorder="1" applyAlignment="1">
      <alignment horizontal="center" vertical="center"/>
    </xf>
    <xf numFmtId="1" fontId="4" fillId="5" borderId="76" xfId="1" applyNumberFormat="1" applyFont="1" applyFill="1" applyBorder="1" applyAlignment="1">
      <alignment horizontal="center" vertical="center"/>
    </xf>
    <xf numFmtId="1" fontId="4" fillId="0" borderId="77" xfId="0" applyNumberFormat="1" applyFont="1" applyFill="1" applyBorder="1" applyAlignment="1">
      <alignment horizontal="center" vertical="center"/>
    </xf>
    <xf numFmtId="1" fontId="5" fillId="5" borderId="14" xfId="0" applyNumberFormat="1" applyFont="1" applyFill="1" applyBorder="1" applyAlignment="1">
      <alignment horizontal="center" vertical="center"/>
    </xf>
    <xf numFmtId="1" fontId="4" fillId="5" borderId="14" xfId="0" applyNumberFormat="1" applyFont="1" applyFill="1" applyBorder="1" applyAlignment="1">
      <alignment horizontal="center" vertical="center"/>
    </xf>
    <xf numFmtId="1" fontId="4" fillId="0" borderId="78" xfId="0" applyNumberFormat="1" applyFont="1" applyFill="1" applyBorder="1" applyAlignment="1">
      <alignment horizontal="center" vertical="center"/>
    </xf>
    <xf numFmtId="1" fontId="23" fillId="5" borderId="14" xfId="0" applyNumberFormat="1" applyFont="1" applyFill="1" applyBorder="1" applyAlignment="1">
      <alignment horizontal="center" vertical="center"/>
    </xf>
    <xf numFmtId="1" fontId="5" fillId="16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4" fillId="13" borderId="14" xfId="0" applyNumberFormat="1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2" fontId="4" fillId="15" borderId="14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29" fillId="0" borderId="2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" fontId="15" fillId="0" borderId="0" xfId="0" applyNumberFormat="1" applyFont="1" applyBorder="1"/>
    <xf numFmtId="0" fontId="15" fillId="0" borderId="0" xfId="0" applyFont="1" applyBorder="1" applyAlignment="1"/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36" xfId="0" applyFont="1" applyBorder="1"/>
    <xf numFmtId="0" fontId="32" fillId="0" borderId="22" xfId="0" applyFont="1" applyBorder="1" applyAlignment="1">
      <alignment horizontal="right" vertical="center"/>
    </xf>
    <xf numFmtId="0" fontId="29" fillId="0" borderId="0" xfId="0" applyFont="1" applyBorder="1" applyAlignment="1">
      <alignment horizontal="center"/>
    </xf>
    <xf numFmtId="0" fontId="30" fillId="0" borderId="24" xfId="0" applyFont="1" applyBorder="1"/>
    <xf numFmtId="0" fontId="30" fillId="0" borderId="25" xfId="0" applyFont="1" applyBorder="1"/>
    <xf numFmtId="0" fontId="4" fillId="0" borderId="25" xfId="0" applyFont="1" applyBorder="1"/>
    <xf numFmtId="1" fontId="25" fillId="0" borderId="38" xfId="0" applyNumberFormat="1" applyFont="1" applyBorder="1"/>
    <xf numFmtId="0" fontId="24" fillId="0" borderId="0" xfId="0" applyFont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15" fillId="0" borderId="24" xfId="0" applyFont="1" applyBorder="1"/>
    <xf numFmtId="0" fontId="15" fillId="0" borderId="25" xfId="0" applyFont="1" applyBorder="1"/>
    <xf numFmtId="0" fontId="25" fillId="0" borderId="38" xfId="0" applyFont="1" applyBorder="1"/>
    <xf numFmtId="0" fontId="15" fillId="0" borderId="36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/>
    </xf>
    <xf numFmtId="1" fontId="5" fillId="0" borderId="14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29" fillId="0" borderId="38" xfId="0" applyFont="1" applyBorder="1" applyAlignment="1">
      <alignment horizontal="left" vertical="center"/>
    </xf>
    <xf numFmtId="0" fontId="15" fillId="0" borderId="38" xfId="0" applyFont="1" applyBorder="1" applyAlignment="1">
      <alignment vertical="center"/>
    </xf>
    <xf numFmtId="0" fontId="15" fillId="0" borderId="38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15" fillId="0" borderId="40" xfId="0" applyFont="1" applyBorder="1"/>
    <xf numFmtId="0" fontId="15" fillId="0" borderId="41" xfId="0" applyFont="1" applyBorder="1"/>
    <xf numFmtId="0" fontId="15" fillId="0" borderId="42" xfId="0" applyFont="1" applyBorder="1"/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15" fillId="0" borderId="81" xfId="0" applyFont="1" applyBorder="1" applyAlignment="1">
      <alignment vertical="center"/>
    </xf>
    <xf numFmtId="0" fontId="15" fillId="0" borderId="81" xfId="0" applyFont="1" applyBorder="1"/>
    <xf numFmtId="0" fontId="5" fillId="0" borderId="81" xfId="0" applyFont="1" applyBorder="1"/>
    <xf numFmtId="0" fontId="15" fillId="0" borderId="82" xfId="0" applyFont="1" applyBorder="1" applyAlignment="1">
      <alignment vertical="center"/>
    </xf>
    <xf numFmtId="0" fontId="15" fillId="0" borderId="82" xfId="0" applyFont="1" applyBorder="1"/>
    <xf numFmtId="0" fontId="5" fillId="0" borderId="82" xfId="0" applyFont="1" applyBorder="1"/>
    <xf numFmtId="0" fontId="33" fillId="0" borderId="0" xfId="0" applyFont="1" applyBorder="1" applyAlignment="1">
      <alignment horizontal="left" vertical="center"/>
    </xf>
    <xf numFmtId="0" fontId="33" fillId="0" borderId="42" xfId="0" applyFont="1" applyBorder="1" applyAlignment="1">
      <alignment horizontal="left" vertical="center"/>
    </xf>
    <xf numFmtId="0" fontId="3" fillId="0" borderId="4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36" xfId="0" applyFont="1" applyBorder="1" applyAlignment="1">
      <alignment horizontal="left"/>
    </xf>
    <xf numFmtId="0" fontId="33" fillId="0" borderId="81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5" fillId="0" borderId="80" xfId="0" applyFont="1" applyBorder="1" applyAlignment="1">
      <alignment horizontal="left"/>
    </xf>
    <xf numFmtId="0" fontId="15" fillId="0" borderId="84" xfId="0" applyFont="1" applyBorder="1" applyAlignment="1"/>
    <xf numFmtId="0" fontId="5" fillId="0" borderId="84" xfId="0" applyFont="1" applyBorder="1"/>
    <xf numFmtId="0" fontId="15" fillId="0" borderId="84" xfId="0" applyFont="1" applyBorder="1" applyAlignment="1">
      <alignment vertical="center"/>
    </xf>
    <xf numFmtId="0" fontId="15" fillId="0" borderId="86" xfId="0" applyFont="1" applyBorder="1" applyAlignment="1"/>
    <xf numFmtId="0" fontId="5" fillId="0" borderId="86" xfId="0" applyFont="1" applyBorder="1"/>
    <xf numFmtId="0" fontId="15" fillId="0" borderId="86" xfId="0" applyFont="1" applyBorder="1" applyAlignment="1">
      <alignment vertical="center"/>
    </xf>
    <xf numFmtId="0" fontId="29" fillId="0" borderId="22" xfId="0" applyFont="1" applyBorder="1" applyAlignment="1">
      <alignment horizontal="right"/>
    </xf>
    <xf numFmtId="0" fontId="29" fillId="0" borderId="22" xfId="0" applyFont="1" applyBorder="1" applyAlignment="1">
      <alignment horizontal="center"/>
    </xf>
    <xf numFmtId="0" fontId="5" fillId="0" borderId="88" xfId="0" applyFont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3" fontId="4" fillId="0" borderId="88" xfId="0" applyNumberFormat="1" applyFont="1" applyFill="1" applyBorder="1" applyAlignment="1">
      <alignment horizontal="center" vertical="center"/>
    </xf>
    <xf numFmtId="3" fontId="4" fillId="6" borderId="88" xfId="0" applyNumberFormat="1" applyFont="1" applyFill="1" applyBorder="1" applyAlignment="1">
      <alignment horizontal="center" vertical="center"/>
    </xf>
    <xf numFmtId="3" fontId="4" fillId="5" borderId="88" xfId="0" applyNumberFormat="1" applyFont="1" applyFill="1" applyBorder="1" applyAlignment="1">
      <alignment horizontal="center" vertical="center"/>
    </xf>
    <xf numFmtId="1" fontId="4" fillId="5" borderId="88" xfId="0" applyNumberFormat="1" applyFont="1" applyFill="1" applyBorder="1" applyAlignment="1">
      <alignment horizontal="center" vertical="center"/>
    </xf>
    <xf numFmtId="1" fontId="4" fillId="5" borderId="89" xfId="0" applyNumberFormat="1" applyFont="1" applyFill="1" applyBorder="1" applyAlignment="1">
      <alignment horizontal="center" vertical="center"/>
    </xf>
    <xf numFmtId="49" fontId="4" fillId="0" borderId="70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72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49" fontId="4" fillId="0" borderId="73" xfId="1" applyNumberFormat="1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15" fillId="0" borderId="38" xfId="0" applyFont="1" applyBorder="1" applyAlignment="1"/>
    <xf numFmtId="0" fontId="5" fillId="3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/>
    <xf numFmtId="0" fontId="7" fillId="0" borderId="4" xfId="0" applyFont="1" applyBorder="1" applyAlignment="1">
      <alignment horizontal="center"/>
    </xf>
    <xf numFmtId="3" fontId="4" fillId="6" borderId="27" xfId="0" applyNumberFormat="1" applyFont="1" applyFill="1" applyBorder="1" applyAlignment="1">
      <alignment horizontal="center"/>
    </xf>
    <xf numFmtId="3" fontId="4" fillId="21" borderId="16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3" fontId="4" fillId="6" borderId="4" xfId="0" applyNumberFormat="1" applyFont="1" applyFill="1" applyBorder="1" applyAlignment="1">
      <alignment horizontal="center"/>
    </xf>
    <xf numFmtId="17" fontId="4" fillId="0" borderId="4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187" fontId="4" fillId="0" borderId="5" xfId="0" applyNumberFormat="1" applyFont="1" applyFill="1" applyBorder="1" applyAlignment="1">
      <alignment horizontal="center"/>
    </xf>
    <xf numFmtId="3" fontId="4" fillId="6" borderId="29" xfId="0" applyNumberFormat="1" applyFont="1" applyFill="1" applyBorder="1" applyAlignment="1">
      <alignment horizontal="center"/>
    </xf>
    <xf numFmtId="3" fontId="4" fillId="21" borderId="91" xfId="0" applyNumberFormat="1" applyFont="1" applyFill="1" applyBorder="1" applyAlignment="1">
      <alignment horizontal="center"/>
    </xf>
    <xf numFmtId="3" fontId="4" fillId="6" borderId="5" xfId="0" applyNumberFormat="1" applyFont="1" applyFill="1" applyBorder="1" applyAlignment="1">
      <alignment horizontal="center"/>
    </xf>
    <xf numFmtId="17" fontId="4" fillId="0" borderId="5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5" fillId="0" borderId="61" xfId="0" applyFont="1" applyBorder="1"/>
    <xf numFmtId="0" fontId="7" fillId="0" borderId="61" xfId="0" applyFont="1" applyBorder="1" applyAlignment="1">
      <alignment horizontal="center"/>
    </xf>
    <xf numFmtId="3" fontId="4" fillId="0" borderId="61" xfId="0" applyNumberFormat="1" applyFont="1" applyFill="1" applyBorder="1" applyAlignment="1">
      <alignment horizontal="center"/>
    </xf>
    <xf numFmtId="187" fontId="4" fillId="0" borderId="61" xfId="0" applyNumberFormat="1" applyFont="1" applyFill="1" applyBorder="1" applyAlignment="1">
      <alignment horizontal="center"/>
    </xf>
    <xf numFmtId="1" fontId="4" fillId="0" borderId="61" xfId="0" applyNumberFormat="1" applyFont="1" applyFill="1" applyBorder="1" applyAlignment="1">
      <alignment horizontal="center"/>
    </xf>
    <xf numFmtId="0" fontId="5" fillId="22" borderId="0" xfId="0" applyFont="1" applyFill="1"/>
    <xf numFmtId="0" fontId="4" fillId="0" borderId="61" xfId="0" applyFont="1" applyFill="1" applyBorder="1" applyAlignment="1">
      <alignment horizontal="center" wrapText="1"/>
    </xf>
    <xf numFmtId="0" fontId="5" fillId="0" borderId="49" xfId="0" applyFont="1" applyBorder="1"/>
    <xf numFmtId="0" fontId="7" fillId="0" borderId="49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center"/>
    </xf>
    <xf numFmtId="187" fontId="4" fillId="0" borderId="49" xfId="0" applyNumberFormat="1" applyFont="1" applyFill="1" applyBorder="1" applyAlignment="1">
      <alignment horizontal="center"/>
    </xf>
    <xf numFmtId="3" fontId="34" fillId="0" borderId="49" xfId="0" applyNumberFormat="1" applyFont="1" applyFill="1" applyBorder="1" applyAlignment="1">
      <alignment horizontal="center"/>
    </xf>
    <xf numFmtId="3" fontId="4" fillId="6" borderId="49" xfId="0" applyNumberFormat="1" applyFont="1" applyFill="1" applyBorder="1" applyAlignment="1">
      <alignment horizontal="center"/>
    </xf>
    <xf numFmtId="3" fontId="4" fillId="21" borderId="49" xfId="0" applyNumberFormat="1" applyFont="1" applyFill="1" applyBorder="1" applyAlignment="1">
      <alignment horizontal="center"/>
    </xf>
    <xf numFmtId="1" fontId="4" fillId="0" borderId="49" xfId="0" applyNumberFormat="1" applyFont="1" applyFill="1" applyBorder="1" applyAlignment="1">
      <alignment horizontal="center"/>
    </xf>
    <xf numFmtId="17" fontId="4" fillId="0" borderId="49" xfId="0" applyNumberFormat="1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6" borderId="7" xfId="0" applyNumberFormat="1" applyFont="1" applyFill="1" applyBorder="1" applyAlignment="1">
      <alignment horizontal="center"/>
    </xf>
    <xf numFmtId="3" fontId="5" fillId="21" borderId="7" xfId="0" applyNumberFormat="1" applyFont="1" applyFill="1" applyBorder="1" applyAlignment="1">
      <alignment horizontal="center"/>
    </xf>
    <xf numFmtId="0" fontId="5" fillId="7" borderId="7" xfId="0" applyFont="1" applyFill="1" applyBorder="1"/>
    <xf numFmtId="0" fontId="5" fillId="0" borderId="17" xfId="0" applyFont="1" applyBorder="1"/>
    <xf numFmtId="0" fontId="35" fillId="0" borderId="0" xfId="0" applyFont="1"/>
    <xf numFmtId="0" fontId="36" fillId="0" borderId="0" xfId="0" applyFont="1"/>
    <xf numFmtId="0" fontId="4" fillId="0" borderId="40" xfId="0" applyFont="1" applyBorder="1"/>
    <xf numFmtId="0" fontId="17" fillId="0" borderId="0" xfId="0" applyFont="1" applyFill="1" applyAlignment="1">
      <alignment horizontal="center"/>
    </xf>
    <xf numFmtId="0" fontId="37" fillId="0" borderId="0" xfId="0" applyFont="1" applyFill="1"/>
    <xf numFmtId="0" fontId="36" fillId="0" borderId="0" xfId="0" applyFont="1" applyFill="1"/>
    <xf numFmtId="0" fontId="9" fillId="0" borderId="0" xfId="0" applyFont="1" applyFill="1" applyAlignment="1">
      <alignment horizontal="right"/>
    </xf>
    <xf numFmtId="0" fontId="38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5" fillId="0" borderId="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38" xfId="0" applyFont="1" applyBorder="1"/>
    <xf numFmtId="0" fontId="10" fillId="0" borderId="37" xfId="0" applyFont="1" applyBorder="1"/>
    <xf numFmtId="0" fontId="10" fillId="0" borderId="38" xfId="0" applyFont="1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9" fillId="0" borderId="0" xfId="0" applyFont="1" applyBorder="1"/>
    <xf numFmtId="0" fontId="29" fillId="0" borderId="82" xfId="0" applyFont="1" applyBorder="1"/>
    <xf numFmtId="3" fontId="39" fillId="0" borderId="61" xfId="0" applyNumberFormat="1" applyFont="1" applyFill="1" applyBorder="1" applyAlignment="1">
      <alignment horizontal="center"/>
    </xf>
    <xf numFmtId="187" fontId="39" fillId="0" borderId="61" xfId="0" applyNumberFormat="1" applyFont="1" applyFill="1" applyBorder="1" applyAlignment="1">
      <alignment horizontal="center"/>
    </xf>
    <xf numFmtId="3" fontId="39" fillId="0" borderId="5" xfId="0" applyNumberFormat="1" applyFont="1" applyFill="1" applyBorder="1" applyAlignment="1">
      <alignment horizontal="center"/>
    </xf>
    <xf numFmtId="1" fontId="39" fillId="0" borderId="61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/>
    <xf numFmtId="0" fontId="10" fillId="0" borderId="0" xfId="0" applyFont="1" applyAlignment="1">
      <alignment horizontal="center"/>
    </xf>
    <xf numFmtId="1" fontId="4" fillId="5" borderId="61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0" fontId="7" fillId="9" borderId="92" xfId="2" applyFont="1" applyBorder="1" applyAlignment="1">
      <alignment horizontal="center" vertical="center" wrapText="1"/>
    </xf>
    <xf numFmtId="1" fontId="5" fillId="5" borderId="61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3" fontId="5" fillId="5" borderId="5" xfId="0" applyNumberFormat="1" applyFont="1" applyFill="1" applyBorder="1" applyAlignment="1">
      <alignment horizontal="center" vertical="center"/>
    </xf>
    <xf numFmtId="3" fontId="5" fillId="5" borderId="49" xfId="0" applyNumberFormat="1" applyFont="1" applyFill="1" applyBorder="1" applyAlignment="1">
      <alignment horizontal="center" vertical="center"/>
    </xf>
    <xf numFmtId="0" fontId="41" fillId="0" borderId="0" xfId="0" applyFont="1"/>
    <xf numFmtId="3" fontId="5" fillId="21" borderId="4" xfId="0" applyNumberFormat="1" applyFont="1" applyFill="1" applyBorder="1" applyAlignment="1">
      <alignment horizontal="center"/>
    </xf>
    <xf numFmtId="3" fontId="5" fillId="21" borderId="61" xfId="0" applyNumberFormat="1" applyFont="1" applyFill="1" applyBorder="1" applyAlignment="1">
      <alignment horizontal="center"/>
    </xf>
    <xf numFmtId="3" fontId="5" fillId="21" borderId="49" xfId="0" applyNumberFormat="1" applyFont="1" applyFill="1" applyBorder="1" applyAlignment="1">
      <alignment horizontal="center"/>
    </xf>
    <xf numFmtId="3" fontId="39" fillId="21" borderId="4" xfId="0" applyNumberFormat="1" applyFont="1" applyFill="1" applyBorder="1" applyAlignment="1">
      <alignment horizontal="center"/>
    </xf>
    <xf numFmtId="3" fontId="23" fillId="21" borderId="16" xfId="0" applyNumberFormat="1" applyFont="1" applyFill="1" applyBorder="1" applyAlignment="1">
      <alignment horizontal="center"/>
    </xf>
    <xf numFmtId="3" fontId="39" fillId="21" borderId="16" xfId="0" applyNumberFormat="1" applyFont="1" applyFill="1" applyBorder="1" applyAlignment="1">
      <alignment horizontal="center"/>
    </xf>
    <xf numFmtId="3" fontId="39" fillId="21" borderId="61" xfId="0" applyNumberFormat="1" applyFont="1" applyFill="1" applyBorder="1" applyAlignment="1">
      <alignment horizontal="center"/>
    </xf>
    <xf numFmtId="3" fontId="23" fillId="21" borderId="91" xfId="0" applyNumberFormat="1" applyFont="1" applyFill="1" applyBorder="1" applyAlignment="1">
      <alignment horizontal="center"/>
    </xf>
    <xf numFmtId="3" fontId="39" fillId="21" borderId="91" xfId="0" applyNumberFormat="1" applyFont="1" applyFill="1" applyBorder="1" applyAlignment="1">
      <alignment horizontal="center"/>
    </xf>
    <xf numFmtId="3" fontId="39" fillId="21" borderId="49" xfId="0" applyNumberFormat="1" applyFont="1" applyFill="1" applyBorder="1" applyAlignment="1">
      <alignment horizontal="center"/>
    </xf>
    <xf numFmtId="0" fontId="5" fillId="0" borderId="22" xfId="0" applyFont="1" applyBorder="1" applyAlignment="1"/>
    <xf numFmtId="0" fontId="5" fillId="0" borderId="22" xfId="0" applyFont="1" applyBorder="1"/>
    <xf numFmtId="0" fontId="4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left"/>
    </xf>
    <xf numFmtId="1" fontId="4" fillId="5" borderId="29" xfId="0" applyNumberFormat="1" applyFont="1" applyFill="1" applyBorder="1" applyAlignment="1">
      <alignment horizontal="center" vertical="center"/>
    </xf>
    <xf numFmtId="1" fontId="5" fillId="5" borderId="29" xfId="0" applyNumberFormat="1" applyFont="1" applyFill="1" applyBorder="1" applyAlignment="1">
      <alignment horizontal="center" vertical="center"/>
    </xf>
    <xf numFmtId="1" fontId="4" fillId="5" borderId="50" xfId="0" applyNumberFormat="1" applyFont="1" applyFill="1" applyBorder="1" applyAlignment="1">
      <alignment horizontal="center" vertical="center"/>
    </xf>
    <xf numFmtId="3" fontId="4" fillId="21" borderId="61" xfId="0" applyNumberFormat="1" applyFont="1" applyFill="1" applyBorder="1" applyAlignment="1">
      <alignment horizontal="center"/>
    </xf>
    <xf numFmtId="3" fontId="5" fillId="21" borderId="91" xfId="0" applyNumberFormat="1" applyFont="1" applyFill="1" applyBorder="1" applyAlignment="1">
      <alignment horizontal="center"/>
    </xf>
    <xf numFmtId="3" fontId="5" fillId="21" borderId="18" xfId="0" applyNumberFormat="1" applyFont="1" applyFill="1" applyBorder="1" applyAlignment="1">
      <alignment horizontal="center"/>
    </xf>
    <xf numFmtId="3" fontId="4" fillId="21" borderId="4" xfId="0" applyNumberFormat="1" applyFont="1" applyFill="1" applyBorder="1" applyAlignment="1">
      <alignment horizontal="center"/>
    </xf>
    <xf numFmtId="3" fontId="5" fillId="21" borderId="16" xfId="0" applyNumberFormat="1" applyFont="1" applyFill="1" applyBorder="1" applyAlignment="1">
      <alignment horizontal="center"/>
    </xf>
    <xf numFmtId="3" fontId="23" fillId="21" borderId="49" xfId="0" applyNumberFormat="1" applyFont="1" applyFill="1" applyBorder="1" applyAlignment="1">
      <alignment horizontal="center"/>
    </xf>
    <xf numFmtId="0" fontId="15" fillId="0" borderId="39" xfId="0" applyFont="1" applyBorder="1"/>
    <xf numFmtId="0" fontId="15" fillId="0" borderId="36" xfId="0" applyFont="1" applyBorder="1"/>
    <xf numFmtId="0" fontId="15" fillId="0" borderId="43" xfId="0" applyFont="1" applyBorder="1"/>
    <xf numFmtId="1" fontId="5" fillId="5" borderId="4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2" borderId="6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5" fillId="9" borderId="10" xfId="2" applyFont="1" applyBorder="1" applyAlignment="1">
      <alignment horizontal="center" vertical="center"/>
    </xf>
    <xf numFmtId="0" fontId="5" fillId="9" borderId="34" xfId="2" applyFont="1" applyBorder="1" applyAlignment="1">
      <alignment horizontal="center" vertical="center"/>
    </xf>
    <xf numFmtId="0" fontId="5" fillId="9" borderId="11" xfId="2" applyFont="1" applyBorder="1" applyAlignment="1">
      <alignment horizontal="center" vertical="center"/>
    </xf>
    <xf numFmtId="0" fontId="3" fillId="15" borderId="1" xfId="2" applyFont="1" applyFill="1" applyBorder="1" applyAlignment="1">
      <alignment horizontal="center" vertical="center" wrapText="1"/>
    </xf>
    <xf numFmtId="0" fontId="3" fillId="15" borderId="7" xfId="2" applyFont="1" applyFill="1" applyBorder="1" applyAlignment="1">
      <alignment horizontal="center" vertical="center" wrapText="1"/>
    </xf>
    <xf numFmtId="0" fontId="3" fillId="13" borderId="1" xfId="2" applyFont="1" applyFill="1" applyBorder="1" applyAlignment="1">
      <alignment horizontal="center" vertical="center" wrapText="1"/>
    </xf>
    <xf numFmtId="0" fontId="3" fillId="13" borderId="7" xfId="2" applyFont="1" applyFill="1" applyBorder="1" applyAlignment="1">
      <alignment horizontal="center" vertical="center" wrapText="1"/>
    </xf>
    <xf numFmtId="0" fontId="16" fillId="9" borderId="3" xfId="2" applyFont="1" applyBorder="1" applyAlignment="1">
      <alignment horizontal="center" vertical="center" wrapText="1"/>
    </xf>
    <xf numFmtId="0" fontId="16" fillId="9" borderId="7" xfId="2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4" fillId="0" borderId="84" xfId="0" applyFont="1" applyBorder="1" applyAlignment="1">
      <alignment horizontal="left" vertical="center"/>
    </xf>
    <xf numFmtId="0" fontId="4" fillId="0" borderId="85" xfId="0" applyFont="1" applyBorder="1" applyAlignment="1">
      <alignment horizontal="left" vertical="center"/>
    </xf>
    <xf numFmtId="0" fontId="4" fillId="0" borderId="86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5" fillId="14" borderId="57" xfId="0" applyFont="1" applyFill="1" applyBorder="1" applyAlignment="1">
      <alignment horizontal="center" vertical="center" wrapText="1"/>
    </xf>
    <xf numFmtId="0" fontId="5" fillId="14" borderId="56" xfId="0" applyFont="1" applyFill="1" applyBorder="1" applyAlignment="1">
      <alignment horizontal="center" vertical="center" wrapText="1"/>
    </xf>
    <xf numFmtId="0" fontId="7" fillId="9" borderId="55" xfId="2" applyFont="1" applyBorder="1" applyAlignment="1">
      <alignment horizontal="center" vertical="center" wrapText="1"/>
    </xf>
    <xf numFmtId="0" fontId="7" fillId="9" borderId="56" xfId="2" applyFont="1" applyBorder="1" applyAlignment="1">
      <alignment horizontal="center" vertical="center" wrapText="1"/>
    </xf>
    <xf numFmtId="0" fontId="7" fillId="9" borderId="51" xfId="2" applyFont="1" applyBorder="1" applyAlignment="1">
      <alignment horizontal="center" vertical="center" wrapText="1"/>
    </xf>
    <xf numFmtId="0" fontId="7" fillId="9" borderId="52" xfId="2" applyFont="1" applyBorder="1" applyAlignment="1">
      <alignment horizontal="center" vertical="center"/>
    </xf>
    <xf numFmtId="0" fontId="7" fillId="9" borderId="53" xfId="2" applyFont="1" applyBorder="1" applyAlignment="1">
      <alignment horizontal="center" vertical="center"/>
    </xf>
    <xf numFmtId="0" fontId="7" fillId="9" borderId="54" xfId="2" applyFont="1" applyBorder="1" applyAlignment="1">
      <alignment horizontal="center" vertical="center"/>
    </xf>
    <xf numFmtId="0" fontId="7" fillId="9" borderId="55" xfId="2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left" vertical="center"/>
    </xf>
    <xf numFmtId="0" fontId="33" fillId="0" borderId="36" xfId="0" applyFont="1" applyBorder="1" applyAlignment="1">
      <alignment horizontal="left" vertical="center"/>
    </xf>
    <xf numFmtId="0" fontId="33" fillId="0" borderId="82" xfId="0" applyFont="1" applyBorder="1" applyAlignment="1">
      <alignment horizontal="left" vertical="center"/>
    </xf>
    <xf numFmtId="0" fontId="33" fillId="0" borderId="83" xfId="0" applyFont="1" applyBorder="1" applyAlignment="1">
      <alignment horizontal="left" vertical="center"/>
    </xf>
    <xf numFmtId="0" fontId="33" fillId="0" borderId="81" xfId="0" applyFont="1" applyBorder="1" applyAlignment="1">
      <alignment horizontal="left" vertical="center"/>
    </xf>
    <xf numFmtId="0" fontId="33" fillId="0" borderId="80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9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9" borderId="10" xfId="2" applyFont="1" applyBorder="1" applyAlignment="1">
      <alignment horizontal="center" vertical="center"/>
    </xf>
    <xf numFmtId="0" fontId="7" fillId="9" borderId="34" xfId="2" applyFont="1" applyBorder="1" applyAlignment="1">
      <alignment horizontal="center" vertical="center"/>
    </xf>
    <xf numFmtId="0" fontId="7" fillId="9" borderId="10" xfId="2" applyFont="1" applyBorder="1" applyAlignment="1">
      <alignment horizontal="center" vertical="center" wrapText="1"/>
    </xf>
    <xf numFmtId="0" fontId="7" fillId="9" borderId="34" xfId="2" applyFont="1" applyBorder="1" applyAlignment="1">
      <alignment horizontal="center" vertical="center" wrapText="1"/>
    </xf>
    <xf numFmtId="0" fontId="26" fillId="9" borderId="2" xfId="2" applyFont="1" applyBorder="1" applyAlignment="1">
      <alignment horizontal="center" vertical="center" wrapText="1"/>
    </xf>
    <xf numFmtId="0" fontId="26" fillId="9" borderId="7" xfId="2" applyFont="1" applyBorder="1" applyAlignment="1">
      <alignment horizontal="center" vertical="center" wrapText="1"/>
    </xf>
    <xf numFmtId="0" fontId="16" fillId="9" borderId="10" xfId="2" applyFont="1" applyBorder="1" applyAlignment="1">
      <alignment horizontal="center" vertical="center" wrapText="1"/>
    </xf>
    <xf numFmtId="0" fontId="16" fillId="9" borderId="11" xfId="2" applyFont="1" applyBorder="1" applyAlignment="1">
      <alignment horizontal="center" vertical="center" wrapText="1"/>
    </xf>
    <xf numFmtId="0" fontId="7" fillId="9" borderId="3" xfId="2" applyFont="1" applyBorder="1" applyAlignment="1">
      <alignment horizontal="center" vertical="center" wrapText="1"/>
    </xf>
    <xf numFmtId="0" fontId="3" fillId="9" borderId="2" xfId="2" applyFont="1" applyBorder="1" applyAlignment="1">
      <alignment horizontal="center" vertical="center" wrapText="1"/>
    </xf>
    <xf numFmtId="0" fontId="3" fillId="9" borderId="7" xfId="2" applyFont="1" applyBorder="1" applyAlignment="1">
      <alignment horizontal="center" vertical="center" wrapText="1"/>
    </xf>
    <xf numFmtId="0" fontId="3" fillId="9" borderId="8" xfId="2" applyFont="1" applyBorder="1" applyAlignment="1">
      <alignment horizontal="center" vertical="center" wrapText="1"/>
    </xf>
    <xf numFmtId="0" fontId="3" fillId="9" borderId="13" xfId="2" applyFont="1" applyBorder="1" applyAlignment="1">
      <alignment horizontal="center" vertical="center" wrapText="1"/>
    </xf>
    <xf numFmtId="0" fontId="3" fillId="9" borderId="9" xfId="2" applyFont="1" applyBorder="1" applyAlignment="1">
      <alignment horizontal="center" vertical="center" wrapText="1"/>
    </xf>
    <xf numFmtId="0" fontId="3" fillId="9" borderId="15" xfId="2" applyFont="1" applyBorder="1" applyAlignment="1">
      <alignment horizontal="center" vertical="center" wrapText="1"/>
    </xf>
    <xf numFmtId="0" fontId="3" fillId="9" borderId="17" xfId="2" applyFont="1" applyBorder="1" applyAlignment="1">
      <alignment horizontal="center" vertical="center" wrapText="1"/>
    </xf>
    <xf numFmtId="0" fontId="3" fillId="9" borderId="12" xfId="2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/>
    </xf>
    <xf numFmtId="0" fontId="4" fillId="0" borderId="80" xfId="0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9" borderId="3" xfId="2" applyFont="1" applyBorder="1" applyAlignment="1">
      <alignment horizontal="center" vertical="center"/>
    </xf>
    <xf numFmtId="0" fontId="7" fillId="9" borderId="2" xfId="2" applyFont="1" applyBorder="1" applyAlignment="1">
      <alignment horizontal="center" vertical="center" wrapText="1"/>
    </xf>
    <xf numFmtId="0" fontId="7" fillId="9" borderId="7" xfId="2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4" borderId="7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0" borderId="2" xfId="0" applyFont="1" applyFill="1" applyBorder="1" applyAlignment="1">
      <alignment horizontal="center" vertical="center" shrinkToFit="1"/>
    </xf>
    <xf numFmtId="0" fontId="5" fillId="20" borderId="1" xfId="0" applyFont="1" applyFill="1" applyBorder="1" applyAlignment="1">
      <alignment horizontal="center" vertical="center" shrinkToFit="1"/>
    </xf>
    <xf numFmtId="0" fontId="5" fillId="20" borderId="7" xfId="0" applyFont="1" applyFill="1" applyBorder="1" applyAlignment="1">
      <alignment horizontal="center" vertical="center" shrinkToFit="1"/>
    </xf>
    <xf numFmtId="0" fontId="7" fillId="20" borderId="2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7" fillId="20" borderId="7" xfId="0" applyFont="1" applyFill="1" applyBorder="1" applyAlignment="1">
      <alignment horizontal="center" vertical="center" wrapText="1"/>
    </xf>
    <xf numFmtId="0" fontId="5" fillId="18" borderId="8" xfId="3" applyFont="1" applyBorder="1" applyAlignment="1">
      <alignment horizontal="center" vertical="center" wrapText="1"/>
    </xf>
    <xf numFmtId="0" fontId="5" fillId="18" borderId="13" xfId="3" applyFont="1" applyBorder="1" applyAlignment="1">
      <alignment horizontal="center" vertical="center" wrapText="1"/>
    </xf>
    <xf numFmtId="0" fontId="5" fillId="18" borderId="9" xfId="3" applyFont="1" applyBorder="1" applyAlignment="1">
      <alignment horizontal="center" vertical="center" wrapText="1"/>
    </xf>
    <xf numFmtId="49" fontId="5" fillId="18" borderId="79" xfId="3" applyNumberFormat="1" applyFont="1" applyBorder="1" applyAlignment="1">
      <alignment horizontal="center" vertical="center" wrapText="1"/>
    </xf>
    <xf numFmtId="49" fontId="5" fillId="18" borderId="0" xfId="3" applyNumberFormat="1" applyFont="1" applyBorder="1" applyAlignment="1">
      <alignment horizontal="center" vertical="center" wrapText="1"/>
    </xf>
    <xf numFmtId="49" fontId="5" fillId="18" borderId="90" xfId="3" applyNumberFormat="1" applyFont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 wrapText="1"/>
    </xf>
    <xf numFmtId="0" fontId="11" fillId="20" borderId="1" xfId="0" applyFont="1" applyFill="1" applyBorder="1" applyAlignment="1">
      <alignment horizontal="center" vertical="center" wrapText="1"/>
    </xf>
    <xf numFmtId="0" fontId="11" fillId="20" borderId="7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0" fontId="42" fillId="4" borderId="7" xfId="0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center" vertical="center" wrapText="1"/>
    </xf>
    <xf numFmtId="0" fontId="42" fillId="4" borderId="9" xfId="0" applyFont="1" applyFill="1" applyBorder="1" applyAlignment="1">
      <alignment horizontal="center" vertical="center" wrapText="1"/>
    </xf>
    <xf numFmtId="0" fontId="42" fillId="4" borderId="90" xfId="0" applyFont="1" applyFill="1" applyBorder="1" applyAlignment="1">
      <alignment horizontal="center" vertical="center" wrapText="1"/>
    </xf>
    <xf numFmtId="0" fontId="42" fillId="4" borderId="12" xfId="0" applyFont="1" applyFill="1" applyBorder="1" applyAlignment="1">
      <alignment horizontal="center" vertical="center" wrapText="1"/>
    </xf>
    <xf numFmtId="0" fontId="15" fillId="0" borderId="8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81" xfId="0" applyFont="1" applyBorder="1" applyAlignment="1">
      <alignment horizontal="left" vertical="center"/>
    </xf>
    <xf numFmtId="0" fontId="15" fillId="0" borderId="81" xfId="0" applyFont="1" applyBorder="1" applyAlignment="1">
      <alignment horizontal="left"/>
    </xf>
    <xf numFmtId="0" fontId="5" fillId="4" borderId="93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</cellXfs>
  <cellStyles count="4">
    <cellStyle name="การคำนวณ" xfId="2" builtinId="22"/>
    <cellStyle name="เครื่องหมายจุลภาค" xfId="1" builtinId="3"/>
    <cellStyle name="ปกติ" xfId="0" builtinId="0"/>
    <cellStyle name="ส่วนที่ถูกเน้น3" xfId="3" builtinId="37"/>
  </cellStyles>
  <dxfs count="0"/>
  <tableStyles count="0" defaultTableStyle="TableStyleMedium9" defaultPivotStyle="PivotStyleLight16"/>
  <colors>
    <mruColors>
      <color rgb="FFFFFF66"/>
      <color rgb="FF0000FF"/>
      <color rgb="FFCCFFFF"/>
      <color rgb="FF99FFCC"/>
      <color rgb="FF00FF00"/>
      <color rgb="FF66FF33"/>
      <color rgb="FFCCFF66"/>
      <color rgb="FF00FFCC"/>
      <color rgb="FF333300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15</xdr:row>
      <xdr:rowOff>38103</xdr:rowOff>
    </xdr:from>
    <xdr:to>
      <xdr:col>7</xdr:col>
      <xdr:colOff>257175</xdr:colOff>
      <xdr:row>15</xdr:row>
      <xdr:rowOff>247651</xdr:rowOff>
    </xdr:to>
    <xdr:grpSp>
      <xdr:nvGrpSpPr>
        <xdr:cNvPr id="11" name="Group 10"/>
        <xdr:cNvGrpSpPr/>
      </xdr:nvGrpSpPr>
      <xdr:grpSpPr>
        <a:xfrm>
          <a:off x="2743200" y="4788697"/>
          <a:ext cx="526256" cy="209548"/>
          <a:chOff x="3105150" y="4286251"/>
          <a:chExt cx="600075" cy="1190624"/>
        </a:xfrm>
      </xdr:grpSpPr>
      <xdr:cxnSp macro="">
        <xdr:nvCxnSpPr>
          <xdr:cNvPr id="7" name="Straight Connector 6"/>
          <xdr:cNvCxnSpPr/>
        </xdr:nvCxnSpPr>
        <xdr:spPr>
          <a:xfrm rot="5400000">
            <a:off x="2548314" y="4912895"/>
            <a:ext cx="112796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>
            <a:off x="3105150" y="5476875"/>
            <a:ext cx="600075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 rot="5400000">
            <a:off x="3134101" y="4907381"/>
            <a:ext cx="112796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226483</xdr:colOff>
      <xdr:row>15</xdr:row>
      <xdr:rowOff>66676</xdr:rowOff>
    </xdr:from>
    <xdr:to>
      <xdr:col>16</xdr:col>
      <xdr:colOff>201084</xdr:colOff>
      <xdr:row>15</xdr:row>
      <xdr:rowOff>264583</xdr:rowOff>
    </xdr:to>
    <xdr:grpSp>
      <xdr:nvGrpSpPr>
        <xdr:cNvPr id="12" name="Group 11"/>
        <xdr:cNvGrpSpPr/>
      </xdr:nvGrpSpPr>
      <xdr:grpSpPr>
        <a:xfrm>
          <a:off x="6798733" y="4817270"/>
          <a:ext cx="403226" cy="197907"/>
          <a:chOff x="3105150" y="4286251"/>
          <a:chExt cx="600075" cy="1190624"/>
        </a:xfrm>
      </xdr:grpSpPr>
      <xdr:cxnSp macro="">
        <xdr:nvCxnSpPr>
          <xdr:cNvPr id="13" name="Straight Connector 12"/>
          <xdr:cNvCxnSpPr/>
        </xdr:nvCxnSpPr>
        <xdr:spPr>
          <a:xfrm rot="5400000">
            <a:off x="2548314" y="4912895"/>
            <a:ext cx="112796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Straight Connector 13"/>
          <xdr:cNvCxnSpPr/>
        </xdr:nvCxnSpPr>
        <xdr:spPr>
          <a:xfrm>
            <a:off x="3105150" y="5476875"/>
            <a:ext cx="600075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Straight Connector 14"/>
          <xdr:cNvCxnSpPr/>
        </xdr:nvCxnSpPr>
        <xdr:spPr>
          <a:xfrm rot="5400000">
            <a:off x="3134101" y="4907381"/>
            <a:ext cx="112796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38</xdr:col>
      <xdr:colOff>637115</xdr:colOff>
      <xdr:row>15</xdr:row>
      <xdr:rowOff>85723</xdr:rowOff>
    </xdr:from>
    <xdr:to>
      <xdr:col>39</xdr:col>
      <xdr:colOff>339723</xdr:colOff>
      <xdr:row>16</xdr:row>
      <xdr:rowOff>133349</xdr:rowOff>
    </xdr:to>
    <xdr:sp macro="" textlink="">
      <xdr:nvSpPr>
        <xdr:cNvPr id="16" name="Down Arrow 15"/>
        <xdr:cNvSpPr/>
      </xdr:nvSpPr>
      <xdr:spPr>
        <a:xfrm rot="2577409">
          <a:off x="15391340" y="3952873"/>
          <a:ext cx="340783" cy="361951"/>
        </a:xfrm>
        <a:prstGeom prst="downArrow">
          <a:avLst/>
        </a:prstGeom>
        <a:solidFill>
          <a:srgbClr val="3333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24</xdr:col>
      <xdr:colOff>328084</xdr:colOff>
      <xdr:row>15</xdr:row>
      <xdr:rowOff>28864</xdr:rowOff>
    </xdr:from>
    <xdr:to>
      <xdr:col>25</xdr:col>
      <xdr:colOff>207434</xdr:colOff>
      <xdr:row>15</xdr:row>
      <xdr:rowOff>226771</xdr:rowOff>
    </xdr:to>
    <xdr:grpSp>
      <xdr:nvGrpSpPr>
        <xdr:cNvPr id="18" name="Group 17"/>
        <xdr:cNvGrpSpPr/>
      </xdr:nvGrpSpPr>
      <xdr:grpSpPr>
        <a:xfrm>
          <a:off x="10472209" y="4779458"/>
          <a:ext cx="450850" cy="197907"/>
          <a:chOff x="3105150" y="4286251"/>
          <a:chExt cx="600075" cy="1190624"/>
        </a:xfrm>
      </xdr:grpSpPr>
      <xdr:cxnSp macro="">
        <xdr:nvCxnSpPr>
          <xdr:cNvPr id="19" name="Straight Connector 18"/>
          <xdr:cNvCxnSpPr/>
        </xdr:nvCxnSpPr>
        <xdr:spPr>
          <a:xfrm rot="5400000">
            <a:off x="2548314" y="4912895"/>
            <a:ext cx="112796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Straight Connector 19"/>
          <xdr:cNvCxnSpPr/>
        </xdr:nvCxnSpPr>
        <xdr:spPr>
          <a:xfrm>
            <a:off x="3105150" y="5476875"/>
            <a:ext cx="600075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Straight Connector 20"/>
          <xdr:cNvCxnSpPr/>
        </xdr:nvCxnSpPr>
        <xdr:spPr>
          <a:xfrm rot="5400000">
            <a:off x="3134101" y="4907381"/>
            <a:ext cx="112796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457200</xdr:colOff>
      <xdr:row>16</xdr:row>
      <xdr:rowOff>182029</xdr:rowOff>
    </xdr:from>
    <xdr:to>
      <xdr:col>39</xdr:col>
      <xdr:colOff>478367</xdr:colOff>
      <xdr:row>25</xdr:row>
      <xdr:rowOff>112180</xdr:rowOff>
    </xdr:to>
    <xdr:sp macro="" textlink="">
      <xdr:nvSpPr>
        <xdr:cNvPr id="17" name="Rectangle 16"/>
        <xdr:cNvSpPr/>
      </xdr:nvSpPr>
      <xdr:spPr>
        <a:xfrm>
          <a:off x="14744700" y="4363504"/>
          <a:ext cx="1126067" cy="217805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100" u="sng">
              <a:solidFill>
                <a:srgbClr val="0000FF"/>
              </a:solidFill>
            </a:rPr>
            <a:t>ตชว.</a:t>
          </a:r>
          <a:r>
            <a:rPr lang="th-TH" sz="1100" u="sng" baseline="0">
              <a:solidFill>
                <a:srgbClr val="0000FF"/>
              </a:solidFill>
            </a:rPr>
            <a:t> เชิงคุณภาพ</a:t>
          </a:r>
        </a:p>
        <a:p>
          <a:pPr algn="ctr"/>
          <a:r>
            <a:rPr lang="th-TH" sz="1100">
              <a:solidFill>
                <a:srgbClr val="0000FF"/>
              </a:solidFill>
              <a:latin typeface="+mn-lt"/>
              <a:ea typeface="+mn-ea"/>
              <a:cs typeface="+mn-cs"/>
            </a:rPr>
            <a:t>ร้อยละ 70</a:t>
          </a:r>
          <a:r>
            <a:rPr lang="th-TH" sz="1100" baseline="0">
              <a:solidFill>
                <a:srgbClr val="0000FF"/>
              </a:solidFill>
              <a:latin typeface="+mn-lt"/>
              <a:ea typeface="+mn-ea"/>
              <a:cs typeface="+mn-cs"/>
            </a:rPr>
            <a:t> ของสหกรณ์ที่มีบุคลากรผ่านการฝึกอบรม สามารถนำเสนอรายงานผลการตรวจสอบกิจการต่อที่ประชุมคณะกรรมการดำเนินการได้</a:t>
          </a:r>
          <a:endParaRPr lang="th-TH" sz="1100" u="none">
            <a:solidFill>
              <a:srgbClr val="0000FF"/>
            </a:solidFill>
          </a:endParaRPr>
        </a:p>
      </xdr:txBody>
    </xdr:sp>
    <xdr:clientData/>
  </xdr:twoCellAnchor>
  <xdr:twoCellAnchor>
    <xdr:from>
      <xdr:col>25</xdr:col>
      <xdr:colOff>235745</xdr:colOff>
      <xdr:row>0</xdr:row>
      <xdr:rowOff>89431</xdr:rowOff>
    </xdr:from>
    <xdr:to>
      <xdr:col>27</xdr:col>
      <xdr:colOff>232304</xdr:colOff>
      <xdr:row>1</xdr:row>
      <xdr:rowOff>214314</xdr:rowOff>
    </xdr:to>
    <xdr:sp macro="" textlink="">
      <xdr:nvSpPr>
        <xdr:cNvPr id="22" name="Rounded Rectangle 21"/>
        <xdr:cNvSpPr/>
      </xdr:nvSpPr>
      <xdr:spPr>
        <a:xfrm>
          <a:off x="10796589" y="89431"/>
          <a:ext cx="889528" cy="398727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RM20</a:t>
          </a:r>
          <a:endParaRPr lang="th-TH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13</xdr:row>
      <xdr:rowOff>47626</xdr:rowOff>
    </xdr:from>
    <xdr:to>
      <xdr:col>7</xdr:col>
      <xdr:colOff>466725</xdr:colOff>
      <xdr:row>13</xdr:row>
      <xdr:rowOff>232834</xdr:rowOff>
    </xdr:to>
    <xdr:grpSp>
      <xdr:nvGrpSpPr>
        <xdr:cNvPr id="2" name="Group 1"/>
        <xdr:cNvGrpSpPr/>
      </xdr:nvGrpSpPr>
      <xdr:grpSpPr>
        <a:xfrm>
          <a:off x="4228042" y="4005793"/>
          <a:ext cx="757766" cy="185208"/>
          <a:chOff x="5381625" y="5048250"/>
          <a:chExt cx="800100" cy="180975"/>
        </a:xfrm>
      </xdr:grpSpPr>
      <xdr:cxnSp macro="">
        <xdr:nvCxnSpPr>
          <xdr:cNvPr id="3" name="Straight Connector 2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Straight Connector 3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66676</xdr:colOff>
      <xdr:row>14</xdr:row>
      <xdr:rowOff>198292</xdr:rowOff>
    </xdr:from>
    <xdr:to>
      <xdr:col>19</xdr:col>
      <xdr:colOff>512140</xdr:colOff>
      <xdr:row>22</xdr:row>
      <xdr:rowOff>63500</xdr:rowOff>
    </xdr:to>
    <xdr:sp macro="" textlink="">
      <xdr:nvSpPr>
        <xdr:cNvPr id="7" name="Rectangle 6"/>
        <xdr:cNvSpPr/>
      </xdr:nvSpPr>
      <xdr:spPr>
        <a:xfrm>
          <a:off x="11951759" y="4505709"/>
          <a:ext cx="1302714" cy="159029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100" u="sng">
              <a:solidFill>
                <a:srgbClr val="0000FF"/>
              </a:solidFill>
            </a:rPr>
            <a:t>ตชว.</a:t>
          </a:r>
          <a:r>
            <a:rPr lang="th-TH" sz="1100" u="sng" baseline="0">
              <a:solidFill>
                <a:srgbClr val="0000FF"/>
              </a:solidFill>
            </a:rPr>
            <a:t> เชิงคุณภาพ</a:t>
          </a:r>
        </a:p>
        <a:p>
          <a:pPr algn="ctr"/>
          <a:r>
            <a:rPr lang="th-TH" sz="1100">
              <a:solidFill>
                <a:srgbClr val="0000FF"/>
              </a:solidFill>
              <a:latin typeface="+mn-lt"/>
              <a:ea typeface="+mn-ea"/>
              <a:cs typeface="+mn-cs"/>
            </a:rPr>
            <a:t>ร้อยละ 70</a:t>
          </a:r>
          <a:r>
            <a:rPr lang="th-TH" sz="1100" baseline="0">
              <a:solidFill>
                <a:srgbClr val="0000FF"/>
              </a:solidFill>
              <a:latin typeface="+mn-lt"/>
              <a:ea typeface="+mn-ea"/>
              <a:cs typeface="+mn-cs"/>
            </a:rPr>
            <a:t> ของสหกรณ์และกลุ่มเกษตรกรที่มีบุคลากรผ่านการฝึกอบรมสามารถนำความรู้ไปใช้ประโยชน์ได้</a:t>
          </a:r>
          <a:endParaRPr lang="th-TH" sz="1100" u="none">
            <a:solidFill>
              <a:srgbClr val="0000FF"/>
            </a:solidFill>
          </a:endParaRPr>
        </a:p>
      </xdr:txBody>
    </xdr:sp>
    <xdr:clientData/>
  </xdr:twoCellAnchor>
  <xdr:twoCellAnchor>
    <xdr:from>
      <xdr:col>19</xdr:col>
      <xdr:colOff>27131</xdr:colOff>
      <xdr:row>13</xdr:row>
      <xdr:rowOff>98424</xdr:rowOff>
    </xdr:from>
    <xdr:to>
      <xdr:col>19</xdr:col>
      <xdr:colOff>370031</xdr:colOff>
      <xdr:row>14</xdr:row>
      <xdr:rowOff>142875</xdr:rowOff>
    </xdr:to>
    <xdr:sp macro="" textlink="">
      <xdr:nvSpPr>
        <xdr:cNvPr id="8" name="Down Arrow 7"/>
        <xdr:cNvSpPr/>
      </xdr:nvSpPr>
      <xdr:spPr>
        <a:xfrm rot="2172453">
          <a:off x="9209231" y="3889374"/>
          <a:ext cx="342900" cy="396876"/>
        </a:xfrm>
        <a:prstGeom prst="downArrow">
          <a:avLst/>
        </a:prstGeom>
        <a:solidFill>
          <a:srgbClr val="3333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13</xdr:col>
      <xdr:colOff>171450</xdr:colOff>
      <xdr:row>0</xdr:row>
      <xdr:rowOff>127003</xdr:rowOff>
    </xdr:from>
    <xdr:to>
      <xdr:col>14</xdr:col>
      <xdr:colOff>450850</xdr:colOff>
      <xdr:row>1</xdr:row>
      <xdr:rowOff>263525</xdr:rowOff>
    </xdr:to>
    <xdr:sp macro="" textlink="">
      <xdr:nvSpPr>
        <xdr:cNvPr id="9" name="Rounded Rectangle 8"/>
        <xdr:cNvSpPr/>
      </xdr:nvSpPr>
      <xdr:spPr>
        <a:xfrm>
          <a:off x="9209617" y="127003"/>
          <a:ext cx="850900" cy="411689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RM21</a:t>
          </a:r>
          <a:endParaRPr lang="th-TH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296333</xdr:colOff>
      <xdr:row>13</xdr:row>
      <xdr:rowOff>42333</xdr:rowOff>
    </xdr:from>
    <xdr:to>
      <xdr:col>13</xdr:col>
      <xdr:colOff>306916</xdr:colOff>
      <xdr:row>13</xdr:row>
      <xdr:rowOff>222250</xdr:rowOff>
    </xdr:to>
    <xdr:grpSp>
      <xdr:nvGrpSpPr>
        <xdr:cNvPr id="10" name="Group 1"/>
        <xdr:cNvGrpSpPr/>
      </xdr:nvGrpSpPr>
      <xdr:grpSpPr>
        <a:xfrm>
          <a:off x="7926916" y="4000500"/>
          <a:ext cx="529167" cy="179917"/>
          <a:chOff x="5381625" y="5048250"/>
          <a:chExt cx="800100" cy="180975"/>
        </a:xfrm>
      </xdr:grpSpPr>
      <xdr:cxnSp macro="">
        <xdr:nvCxnSpPr>
          <xdr:cNvPr id="11" name="Straight Connector 2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Straight Connector 3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Straight Connector 4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476250</xdr:colOff>
      <xdr:row>25</xdr:row>
      <xdr:rowOff>85725</xdr:rowOff>
    </xdr:from>
    <xdr:to>
      <xdr:col>62</xdr:col>
      <xdr:colOff>476250</xdr:colOff>
      <xdr:row>25</xdr:row>
      <xdr:rowOff>295275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 flipV="1">
          <a:off x="22421850" y="103727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208491</xdr:colOff>
      <xdr:row>12</xdr:row>
      <xdr:rowOff>8467</xdr:rowOff>
    </xdr:from>
    <xdr:to>
      <xdr:col>30</xdr:col>
      <xdr:colOff>232834</xdr:colOff>
      <xdr:row>12</xdr:row>
      <xdr:rowOff>190500</xdr:rowOff>
    </xdr:to>
    <xdr:grpSp>
      <xdr:nvGrpSpPr>
        <xdr:cNvPr id="7" name="Group 6"/>
        <xdr:cNvGrpSpPr/>
      </xdr:nvGrpSpPr>
      <xdr:grpSpPr>
        <a:xfrm>
          <a:off x="9490074" y="3723217"/>
          <a:ext cx="807510" cy="182033"/>
          <a:chOff x="5381625" y="5048250"/>
          <a:chExt cx="800100" cy="180975"/>
        </a:xfrm>
      </xdr:grpSpPr>
      <xdr:cxnSp macro="">
        <xdr:nvCxnSpPr>
          <xdr:cNvPr id="8" name="Straight Connector 7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Straight Connector 9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47</xdr:col>
      <xdr:colOff>476250</xdr:colOff>
      <xdr:row>13</xdr:row>
      <xdr:rowOff>179915</xdr:rowOff>
    </xdr:from>
    <xdr:to>
      <xdr:col>49</xdr:col>
      <xdr:colOff>465669</xdr:colOff>
      <xdr:row>19</xdr:row>
      <xdr:rowOff>243417</xdr:rowOff>
    </xdr:to>
    <xdr:sp macro="" textlink="">
      <xdr:nvSpPr>
        <xdr:cNvPr id="17" name="Rectangle 16"/>
        <xdr:cNvSpPr/>
      </xdr:nvSpPr>
      <xdr:spPr>
        <a:xfrm>
          <a:off x="13472583" y="4804832"/>
          <a:ext cx="1248836" cy="186266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050" u="sng">
              <a:solidFill>
                <a:srgbClr val="0000FF"/>
              </a:solidFill>
            </a:rPr>
            <a:t>ตชว.</a:t>
          </a:r>
          <a:r>
            <a:rPr lang="th-TH" sz="1050" u="sng" baseline="0">
              <a:solidFill>
                <a:srgbClr val="0000FF"/>
              </a:solidFill>
            </a:rPr>
            <a:t> เชิงคุณภาพ</a:t>
          </a:r>
        </a:p>
        <a:p>
          <a:pPr algn="ctr"/>
          <a:r>
            <a:rPr lang="th-TH" sz="1050" u="none" baseline="0">
              <a:solidFill>
                <a:srgbClr val="0000FF"/>
              </a:solidFill>
            </a:rPr>
            <a:t>ร้อยละ 30 ของสหกรณ์และกลุ่มเกษตรกรที่มีการบริหารจัดการด้านการเงินการบัญชีที่ดี (วัดจากการเลื่อนระดับชั้นคุณภาพการควบคุมภายใน 1 ระดับ)</a:t>
          </a:r>
          <a:endParaRPr lang="th-TH" sz="1050" u="none">
            <a:solidFill>
              <a:srgbClr val="0000FF"/>
            </a:solidFill>
          </a:endParaRPr>
        </a:p>
      </xdr:txBody>
    </xdr:sp>
    <xdr:clientData/>
  </xdr:twoCellAnchor>
  <xdr:twoCellAnchor>
    <xdr:from>
      <xdr:col>49</xdr:col>
      <xdr:colOff>63500</xdr:colOff>
      <xdr:row>12</xdr:row>
      <xdr:rowOff>116415</xdr:rowOff>
    </xdr:from>
    <xdr:to>
      <xdr:col>49</xdr:col>
      <xdr:colOff>465667</xdr:colOff>
      <xdr:row>13</xdr:row>
      <xdr:rowOff>21166</xdr:rowOff>
    </xdr:to>
    <xdr:sp macro="" textlink="">
      <xdr:nvSpPr>
        <xdr:cNvPr id="18" name="Down Arrow 17"/>
        <xdr:cNvSpPr/>
      </xdr:nvSpPr>
      <xdr:spPr>
        <a:xfrm rot="2368357">
          <a:off x="14319250" y="4878915"/>
          <a:ext cx="402167" cy="254001"/>
        </a:xfrm>
        <a:prstGeom prst="downArrow">
          <a:avLst/>
        </a:prstGeom>
        <a:solidFill>
          <a:srgbClr val="3333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27</xdr:col>
      <xdr:colOff>338667</xdr:colOff>
      <xdr:row>1</xdr:row>
      <xdr:rowOff>10582</xdr:rowOff>
    </xdr:from>
    <xdr:to>
      <xdr:col>30</xdr:col>
      <xdr:colOff>52917</xdr:colOff>
      <xdr:row>2</xdr:row>
      <xdr:rowOff>74083</xdr:rowOff>
    </xdr:to>
    <xdr:sp macro="" textlink="">
      <xdr:nvSpPr>
        <xdr:cNvPr id="19" name="Rounded Rectangle 18"/>
        <xdr:cNvSpPr/>
      </xdr:nvSpPr>
      <xdr:spPr>
        <a:xfrm>
          <a:off x="8900584" y="296332"/>
          <a:ext cx="846666" cy="349251"/>
        </a:xfrm>
        <a:prstGeom prst="roundRect">
          <a:avLst>
            <a:gd name="adj" fmla="val 0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>
              <a:solidFill>
                <a:sysClr val="windowText" lastClr="000000"/>
              </a:solidFill>
            </a:rPr>
            <a:t>RM22</a:t>
          </a:r>
          <a:endParaRPr lang="th-TH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201083</xdr:colOff>
      <xdr:row>12</xdr:row>
      <xdr:rowOff>31751</xdr:rowOff>
    </xdr:from>
    <xdr:to>
      <xdr:col>20</xdr:col>
      <xdr:colOff>158750</xdr:colOff>
      <xdr:row>12</xdr:row>
      <xdr:rowOff>190500</xdr:rowOff>
    </xdr:to>
    <xdr:grpSp>
      <xdr:nvGrpSpPr>
        <xdr:cNvPr id="20" name="Group 6"/>
        <xdr:cNvGrpSpPr/>
      </xdr:nvGrpSpPr>
      <xdr:grpSpPr>
        <a:xfrm>
          <a:off x="6265333" y="3746501"/>
          <a:ext cx="359834" cy="158749"/>
          <a:chOff x="5381625" y="5048250"/>
          <a:chExt cx="800100" cy="180975"/>
        </a:xfrm>
      </xdr:grpSpPr>
      <xdr:cxnSp macro="">
        <xdr:nvCxnSpPr>
          <xdr:cNvPr id="21" name="Straight Connector 7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" name="Straight Connector 8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" name="Straight Connector 9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264584</xdr:colOff>
      <xdr:row>12</xdr:row>
      <xdr:rowOff>31750</xdr:rowOff>
    </xdr:from>
    <xdr:to>
      <xdr:col>13</xdr:col>
      <xdr:colOff>179918</xdr:colOff>
      <xdr:row>12</xdr:row>
      <xdr:rowOff>190499</xdr:rowOff>
    </xdr:to>
    <xdr:grpSp>
      <xdr:nvGrpSpPr>
        <xdr:cNvPr id="24" name="Group 6"/>
        <xdr:cNvGrpSpPr/>
      </xdr:nvGrpSpPr>
      <xdr:grpSpPr>
        <a:xfrm>
          <a:off x="3714751" y="3746500"/>
          <a:ext cx="359834" cy="158749"/>
          <a:chOff x="5381625" y="5048250"/>
          <a:chExt cx="800100" cy="180975"/>
        </a:xfrm>
      </xdr:grpSpPr>
      <xdr:cxnSp macro="">
        <xdr:nvCxnSpPr>
          <xdr:cNvPr id="25" name="Straight Connector 7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" name="Straight Connector 8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Straight Connector 9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15</xdr:row>
      <xdr:rowOff>57150</xdr:rowOff>
    </xdr:from>
    <xdr:to>
      <xdr:col>11</xdr:col>
      <xdr:colOff>276225</xdr:colOff>
      <xdr:row>15</xdr:row>
      <xdr:rowOff>266700</xdr:rowOff>
    </xdr:to>
    <xdr:grpSp>
      <xdr:nvGrpSpPr>
        <xdr:cNvPr id="2" name="Group 1"/>
        <xdr:cNvGrpSpPr/>
      </xdr:nvGrpSpPr>
      <xdr:grpSpPr>
        <a:xfrm>
          <a:off x="3000375" y="5369983"/>
          <a:ext cx="641350" cy="209550"/>
          <a:chOff x="5381625" y="5048250"/>
          <a:chExt cx="800100" cy="180975"/>
        </a:xfrm>
      </xdr:grpSpPr>
      <xdr:cxnSp macro="">
        <xdr:nvCxnSpPr>
          <xdr:cNvPr id="3" name="Straight Connector 2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Straight Connector 3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182562</xdr:colOff>
      <xdr:row>13</xdr:row>
      <xdr:rowOff>212291</xdr:rowOff>
    </xdr:from>
    <xdr:to>
      <xdr:col>22</xdr:col>
      <xdr:colOff>592042</xdr:colOff>
      <xdr:row>14</xdr:row>
      <xdr:rowOff>300903</xdr:rowOff>
    </xdr:to>
    <xdr:sp macro="" textlink="">
      <xdr:nvSpPr>
        <xdr:cNvPr id="11" name="Down Arrow 10"/>
        <xdr:cNvSpPr/>
      </xdr:nvSpPr>
      <xdr:spPr>
        <a:xfrm rot="2740000">
          <a:off x="10794038" y="4851399"/>
          <a:ext cx="437862" cy="409480"/>
        </a:xfrm>
        <a:prstGeom prst="downArrow">
          <a:avLst/>
        </a:prstGeom>
        <a:solidFill>
          <a:srgbClr val="3333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22</xdr:col>
      <xdr:colOff>85629</xdr:colOff>
      <xdr:row>14</xdr:row>
      <xdr:rowOff>330391</xdr:rowOff>
    </xdr:from>
    <xdr:to>
      <xdr:col>24</xdr:col>
      <xdr:colOff>60519</xdr:colOff>
      <xdr:row>20</xdr:row>
      <xdr:rowOff>56765</xdr:rowOff>
    </xdr:to>
    <xdr:sp macro="" textlink="">
      <xdr:nvSpPr>
        <xdr:cNvPr id="13" name="Rectangle 12"/>
        <xdr:cNvSpPr/>
      </xdr:nvSpPr>
      <xdr:spPr>
        <a:xfrm>
          <a:off x="10711296" y="5304558"/>
          <a:ext cx="1202556" cy="14408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050" u="sng">
              <a:solidFill>
                <a:srgbClr val="0000FF"/>
              </a:solidFill>
            </a:rPr>
            <a:t>ตชว.</a:t>
          </a:r>
          <a:r>
            <a:rPr lang="th-TH" sz="1050" u="sng" baseline="0">
              <a:solidFill>
                <a:srgbClr val="0000FF"/>
              </a:solidFill>
            </a:rPr>
            <a:t> เชิงคุณภาพ</a:t>
          </a:r>
        </a:p>
        <a:p>
          <a:pPr algn="ctr"/>
          <a:r>
            <a:rPr lang="th-TH" sz="1050" u="none" baseline="0">
              <a:solidFill>
                <a:srgbClr val="0000FF"/>
              </a:solidFill>
            </a:rPr>
            <a:t>ร้อยละ 70 ของสหกรณ์ที่มีบุคลากรได้รับการพัฒนาความรู้ สามารถนำความรู้ไปใช้ประโยชน์ได้</a:t>
          </a:r>
          <a:endParaRPr lang="th-TH" sz="1050" u="none">
            <a:solidFill>
              <a:srgbClr val="0000FF"/>
            </a:solidFill>
          </a:endParaRPr>
        </a:p>
      </xdr:txBody>
    </xdr:sp>
    <xdr:clientData/>
  </xdr:twoCellAnchor>
  <xdr:twoCellAnchor>
    <xdr:from>
      <xdr:col>17</xdr:col>
      <xdr:colOff>380037</xdr:colOff>
      <xdr:row>0</xdr:row>
      <xdr:rowOff>112568</xdr:rowOff>
    </xdr:from>
    <xdr:to>
      <xdr:col>18</xdr:col>
      <xdr:colOff>393316</xdr:colOff>
      <xdr:row>2</xdr:row>
      <xdr:rowOff>10584</xdr:rowOff>
    </xdr:to>
    <xdr:sp macro="" textlink="">
      <xdr:nvSpPr>
        <xdr:cNvPr id="8" name="Rounded Rectangle 7"/>
        <xdr:cNvSpPr/>
      </xdr:nvSpPr>
      <xdr:spPr>
        <a:xfrm>
          <a:off x="10148454" y="112568"/>
          <a:ext cx="817612" cy="406016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>
              <a:solidFill>
                <a:sysClr val="windowText" lastClr="000000"/>
              </a:solidFill>
            </a:rPr>
            <a:t>RM23</a:t>
          </a:r>
          <a:endParaRPr lang="th-TH" sz="16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16</xdr:row>
      <xdr:rowOff>38101</xdr:rowOff>
    </xdr:from>
    <xdr:to>
      <xdr:col>6</xdr:col>
      <xdr:colOff>219075</xdr:colOff>
      <xdr:row>17</xdr:row>
      <xdr:rowOff>3176</xdr:rowOff>
    </xdr:to>
    <xdr:grpSp>
      <xdr:nvGrpSpPr>
        <xdr:cNvPr id="2" name="Group 1"/>
        <xdr:cNvGrpSpPr/>
      </xdr:nvGrpSpPr>
      <xdr:grpSpPr>
        <a:xfrm>
          <a:off x="2983442" y="5107518"/>
          <a:ext cx="463550" cy="144991"/>
          <a:chOff x="5381625" y="5048250"/>
          <a:chExt cx="800100" cy="180975"/>
        </a:xfrm>
      </xdr:grpSpPr>
      <xdr:cxnSp macro="">
        <xdr:nvCxnSpPr>
          <xdr:cNvPr id="3" name="Straight Connector 2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Straight Connector 3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229661</xdr:colOff>
      <xdr:row>16</xdr:row>
      <xdr:rowOff>28575</xdr:rowOff>
    </xdr:from>
    <xdr:to>
      <xdr:col>17</xdr:col>
      <xdr:colOff>211667</xdr:colOff>
      <xdr:row>17</xdr:row>
      <xdr:rowOff>21166</xdr:rowOff>
    </xdr:to>
    <xdr:grpSp>
      <xdr:nvGrpSpPr>
        <xdr:cNvPr id="6" name="Group 5"/>
        <xdr:cNvGrpSpPr/>
      </xdr:nvGrpSpPr>
      <xdr:grpSpPr>
        <a:xfrm>
          <a:off x="6209244" y="5097992"/>
          <a:ext cx="839256" cy="172507"/>
          <a:chOff x="5381625" y="5048250"/>
          <a:chExt cx="800100" cy="180975"/>
        </a:xfrm>
      </xdr:grpSpPr>
      <xdr:cxnSp macro="">
        <xdr:nvCxnSpPr>
          <xdr:cNvPr id="7" name="Straight Connector 6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271991</xdr:colOff>
      <xdr:row>13</xdr:row>
      <xdr:rowOff>71967</xdr:rowOff>
    </xdr:from>
    <xdr:to>
      <xdr:col>30</xdr:col>
      <xdr:colOff>53975</xdr:colOff>
      <xdr:row>15</xdr:row>
      <xdr:rowOff>224367</xdr:rowOff>
    </xdr:to>
    <xdr:sp macro="" textlink="">
      <xdr:nvSpPr>
        <xdr:cNvPr id="11" name="Rectangle 11"/>
        <xdr:cNvSpPr/>
      </xdr:nvSpPr>
      <xdr:spPr>
        <a:xfrm>
          <a:off x="12389908" y="4008967"/>
          <a:ext cx="1623484" cy="74506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050" u="sng">
              <a:solidFill>
                <a:srgbClr val="0000FF"/>
              </a:solidFill>
            </a:rPr>
            <a:t>ตัวชี้วัดเชิงคุณภาพ </a:t>
          </a:r>
          <a:r>
            <a:rPr lang="th-TH" sz="1050" u="none">
              <a:solidFill>
                <a:srgbClr val="0000FF"/>
              </a:solidFill>
            </a:rPr>
            <a:t>: ร้อยละ 30 ของวิสาหกิจชุมชนที่มีการจัดทำบัญชีและงบการเงินตามมาตรฐาน</a:t>
          </a:r>
        </a:p>
      </xdr:txBody>
    </xdr:sp>
    <xdr:clientData/>
  </xdr:twoCellAnchor>
  <xdr:twoCellAnchor>
    <xdr:from>
      <xdr:col>23</xdr:col>
      <xdr:colOff>148166</xdr:colOff>
      <xdr:row>0</xdr:row>
      <xdr:rowOff>169334</xdr:rowOff>
    </xdr:from>
    <xdr:to>
      <xdr:col>24</xdr:col>
      <xdr:colOff>366763</xdr:colOff>
      <xdr:row>1</xdr:row>
      <xdr:rowOff>257850</xdr:rowOff>
    </xdr:to>
    <xdr:sp macro="" textlink="">
      <xdr:nvSpPr>
        <xdr:cNvPr id="13" name="Rounded Rectangle 7"/>
        <xdr:cNvSpPr/>
      </xdr:nvSpPr>
      <xdr:spPr>
        <a:xfrm>
          <a:off x="11292416" y="169334"/>
          <a:ext cx="758347" cy="374266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>
              <a:solidFill>
                <a:sysClr val="windowText" lastClr="000000"/>
              </a:solidFill>
            </a:rPr>
            <a:t>RM24</a:t>
          </a:r>
          <a:endParaRPr lang="th-TH" sz="16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210608</xdr:colOff>
      <xdr:row>16</xdr:row>
      <xdr:rowOff>59267</xdr:rowOff>
    </xdr:from>
    <xdr:to>
      <xdr:col>9</xdr:col>
      <xdr:colOff>229658</xdr:colOff>
      <xdr:row>17</xdr:row>
      <xdr:rowOff>105834</xdr:rowOff>
    </xdr:to>
    <xdr:grpSp>
      <xdr:nvGrpSpPr>
        <xdr:cNvPr id="2" name="Group 1"/>
        <xdr:cNvGrpSpPr/>
      </xdr:nvGrpSpPr>
      <xdr:grpSpPr>
        <a:xfrm>
          <a:off x="3353858" y="5075767"/>
          <a:ext cx="812800" cy="226484"/>
          <a:chOff x="5381625" y="5048250"/>
          <a:chExt cx="800100" cy="180975"/>
        </a:xfrm>
      </xdr:grpSpPr>
      <xdr:cxnSp macro="">
        <xdr:nvCxnSpPr>
          <xdr:cNvPr id="3" name="Straight Connector 2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Straight Connector 3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208494</xdr:colOff>
      <xdr:row>16</xdr:row>
      <xdr:rowOff>92075</xdr:rowOff>
    </xdr:from>
    <xdr:to>
      <xdr:col>21</xdr:col>
      <xdr:colOff>232834</xdr:colOff>
      <xdr:row>17</xdr:row>
      <xdr:rowOff>74084</xdr:rowOff>
    </xdr:to>
    <xdr:grpSp>
      <xdr:nvGrpSpPr>
        <xdr:cNvPr id="6" name="Group 5"/>
        <xdr:cNvGrpSpPr/>
      </xdr:nvGrpSpPr>
      <xdr:grpSpPr>
        <a:xfrm>
          <a:off x="7733244" y="5108575"/>
          <a:ext cx="955673" cy="161926"/>
          <a:chOff x="5381625" y="5048250"/>
          <a:chExt cx="800100" cy="180975"/>
        </a:xfrm>
      </xdr:grpSpPr>
      <xdr:cxnSp macro="">
        <xdr:nvCxnSpPr>
          <xdr:cNvPr id="7" name="Straight Connector 6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271991</xdr:colOff>
      <xdr:row>13</xdr:row>
      <xdr:rowOff>71967</xdr:rowOff>
    </xdr:from>
    <xdr:to>
      <xdr:col>36</xdr:col>
      <xdr:colOff>53975</xdr:colOff>
      <xdr:row>15</xdr:row>
      <xdr:rowOff>224367</xdr:rowOff>
    </xdr:to>
    <xdr:sp macro="" textlink="">
      <xdr:nvSpPr>
        <xdr:cNvPr id="10" name="Rectangle 11"/>
        <xdr:cNvSpPr/>
      </xdr:nvSpPr>
      <xdr:spPr>
        <a:xfrm>
          <a:off x="12921191" y="4005792"/>
          <a:ext cx="1610784" cy="7429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050" u="sng">
              <a:solidFill>
                <a:srgbClr val="0000FF"/>
              </a:solidFill>
            </a:rPr>
            <a:t>ตัวชี้วัดเชิงคุณภาพ </a:t>
          </a:r>
          <a:r>
            <a:rPr lang="th-TH" sz="1050" u="none">
              <a:solidFill>
                <a:srgbClr val="0000FF"/>
              </a:solidFill>
            </a:rPr>
            <a:t>: ร้อยละ 30 ของวิสาหกิจชุมชนที่มีการจัดทำบัญชีและงบการเงินตามมาตรฐาน</a:t>
          </a:r>
        </a:p>
      </xdr:txBody>
    </xdr:sp>
    <xdr:clientData/>
  </xdr:twoCellAnchor>
  <xdr:twoCellAnchor>
    <xdr:from>
      <xdr:col>26</xdr:col>
      <xdr:colOff>338667</xdr:colOff>
      <xdr:row>0</xdr:row>
      <xdr:rowOff>105834</xdr:rowOff>
    </xdr:from>
    <xdr:to>
      <xdr:col>27</xdr:col>
      <xdr:colOff>493764</xdr:colOff>
      <xdr:row>1</xdr:row>
      <xdr:rowOff>194350</xdr:rowOff>
    </xdr:to>
    <xdr:sp macro="" textlink="">
      <xdr:nvSpPr>
        <xdr:cNvPr id="11" name="Rounded Rectangle 7"/>
        <xdr:cNvSpPr/>
      </xdr:nvSpPr>
      <xdr:spPr>
        <a:xfrm>
          <a:off x="11154834" y="105834"/>
          <a:ext cx="811263" cy="374266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>
              <a:solidFill>
                <a:sysClr val="windowText" lastClr="000000"/>
              </a:solidFill>
            </a:rPr>
            <a:t>RM24</a:t>
          </a:r>
          <a:endParaRPr lang="th-TH" sz="16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AP37"/>
  <sheetViews>
    <sheetView zoomScale="80" zoomScaleNormal="80" workbookViewId="0">
      <selection activeCell="AS14" sqref="AS14"/>
    </sheetView>
  </sheetViews>
  <sheetFormatPr defaultRowHeight="27.75" customHeight="1"/>
  <cols>
    <col min="1" max="1" width="10.140625" style="25" customWidth="1"/>
    <col min="2" max="5" width="5.42578125" style="25" customWidth="1"/>
    <col min="6" max="6" width="7" style="25" customWidth="1"/>
    <col min="7" max="7" width="6.5703125" style="25" customWidth="1"/>
    <col min="8" max="10" width="7.7109375" style="25" customWidth="1"/>
    <col min="11" max="15" width="6.140625" style="25" customWidth="1"/>
    <col min="16" max="16" width="6.42578125" style="25" customWidth="1"/>
    <col min="17" max="17" width="5" style="25" customWidth="1"/>
    <col min="18" max="18" width="6.140625" style="25" customWidth="1"/>
    <col min="19" max="19" width="5.7109375" style="25" customWidth="1"/>
    <col min="20" max="24" width="6" style="25" customWidth="1"/>
    <col min="25" max="25" width="8.5703125" style="25" customWidth="1"/>
    <col min="26" max="26" width="8" style="25" customWidth="1"/>
    <col min="27" max="27" width="7.42578125" style="25" customWidth="1"/>
    <col min="28" max="28" width="6.85546875" style="25" customWidth="1"/>
    <col min="29" max="29" width="8.28515625" style="25" hidden="1" customWidth="1"/>
    <col min="30" max="30" width="8" style="25" hidden="1" customWidth="1"/>
    <col min="31" max="31" width="9.42578125" style="25" hidden="1" customWidth="1"/>
    <col min="32" max="32" width="8.7109375" style="25" hidden="1" customWidth="1"/>
    <col min="33" max="33" width="7.140625" style="25" hidden="1" customWidth="1"/>
    <col min="34" max="34" width="9.140625" style="25" hidden="1" customWidth="1"/>
    <col min="35" max="35" width="8.28515625" style="25" hidden="1" customWidth="1"/>
    <col min="36" max="36" width="7.28515625" style="25" hidden="1" customWidth="1"/>
    <col min="37" max="37" width="9.42578125" style="25" hidden="1" customWidth="1"/>
    <col min="38" max="38" width="7" style="25" hidden="1" customWidth="1"/>
    <col min="39" max="39" width="9.5703125" style="25" hidden="1" customWidth="1"/>
    <col min="40" max="40" width="8.42578125" style="109" hidden="1" customWidth="1"/>
    <col min="41" max="41" width="9.140625" style="25" hidden="1" customWidth="1"/>
    <col min="42" max="16384" width="9.140625" style="25"/>
  </cols>
  <sheetData>
    <row r="1" spans="1:42" s="55" customFormat="1" ht="21.75" customHeight="1">
      <c r="A1" s="476" t="s">
        <v>154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1:42" s="55" customFormat="1" ht="21.75" customHeight="1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</row>
    <row r="3" spans="1:42" s="55" customFormat="1" ht="21" customHeight="1">
      <c r="A3" s="124" t="s">
        <v>67</v>
      </c>
      <c r="AC3" s="125"/>
      <c r="AN3" s="123"/>
    </row>
    <row r="4" spans="1:42" s="55" customFormat="1" ht="28.5" customHeight="1">
      <c r="A4" s="502" t="s">
        <v>8</v>
      </c>
      <c r="B4" s="499" t="s">
        <v>49</v>
      </c>
      <c r="C4" s="497"/>
      <c r="D4" s="497"/>
      <c r="E4" s="497"/>
      <c r="F4" s="497"/>
      <c r="G4" s="497"/>
      <c r="H4" s="497"/>
      <c r="I4" s="497"/>
      <c r="J4" s="498"/>
      <c r="K4" s="496" t="s">
        <v>41</v>
      </c>
      <c r="L4" s="497"/>
      <c r="M4" s="497"/>
      <c r="N4" s="497"/>
      <c r="O4" s="497"/>
      <c r="P4" s="497"/>
      <c r="Q4" s="497"/>
      <c r="R4" s="497"/>
      <c r="S4" s="498"/>
      <c r="T4" s="497" t="s">
        <v>42</v>
      </c>
      <c r="U4" s="497"/>
      <c r="V4" s="497"/>
      <c r="W4" s="497"/>
      <c r="X4" s="497"/>
      <c r="Y4" s="497"/>
      <c r="Z4" s="497"/>
      <c r="AA4" s="497"/>
      <c r="AB4" s="504"/>
      <c r="AC4" s="511" t="s">
        <v>25</v>
      </c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3"/>
      <c r="AP4" s="182"/>
    </row>
    <row r="5" spans="1:42" s="55" customFormat="1" ht="21.75" customHeight="1">
      <c r="A5" s="503"/>
      <c r="B5" s="489" t="s">
        <v>11</v>
      </c>
      <c r="C5" s="490"/>
      <c r="D5" s="490"/>
      <c r="E5" s="490"/>
      <c r="F5" s="490"/>
      <c r="G5" s="491"/>
      <c r="H5" s="481" t="s">
        <v>14</v>
      </c>
      <c r="I5" s="482"/>
      <c r="J5" s="483"/>
      <c r="K5" s="494" t="s">
        <v>11</v>
      </c>
      <c r="L5" s="490"/>
      <c r="M5" s="490"/>
      <c r="N5" s="490"/>
      <c r="O5" s="490"/>
      <c r="P5" s="491"/>
      <c r="Q5" s="481" t="s">
        <v>14</v>
      </c>
      <c r="R5" s="482"/>
      <c r="S5" s="483"/>
      <c r="T5" s="490" t="s">
        <v>11</v>
      </c>
      <c r="U5" s="490"/>
      <c r="V5" s="490"/>
      <c r="W5" s="490"/>
      <c r="X5" s="490"/>
      <c r="Y5" s="491"/>
      <c r="Z5" s="481" t="s">
        <v>14</v>
      </c>
      <c r="AA5" s="482"/>
      <c r="AB5" s="505"/>
      <c r="AC5" s="519" t="s">
        <v>58</v>
      </c>
      <c r="AD5" s="519"/>
      <c r="AE5" s="519"/>
      <c r="AF5" s="519" t="s">
        <v>41</v>
      </c>
      <c r="AG5" s="519"/>
      <c r="AH5" s="519"/>
      <c r="AI5" s="519" t="s">
        <v>42</v>
      </c>
      <c r="AJ5" s="519"/>
      <c r="AK5" s="519"/>
      <c r="AL5" s="508" t="s">
        <v>59</v>
      </c>
      <c r="AM5" s="509"/>
      <c r="AN5" s="510"/>
      <c r="AP5" s="182"/>
    </row>
    <row r="6" spans="1:42" s="55" customFormat="1" ht="21.75" customHeight="1">
      <c r="A6" s="503"/>
      <c r="B6" s="488" t="s">
        <v>1</v>
      </c>
      <c r="C6" s="488"/>
      <c r="D6" s="488"/>
      <c r="E6" s="488"/>
      <c r="F6" s="488"/>
      <c r="G6" s="492" t="s">
        <v>19</v>
      </c>
      <c r="H6" s="484"/>
      <c r="I6" s="485"/>
      <c r="J6" s="486"/>
      <c r="K6" s="487" t="s">
        <v>1</v>
      </c>
      <c r="L6" s="488"/>
      <c r="M6" s="488"/>
      <c r="N6" s="488"/>
      <c r="O6" s="488"/>
      <c r="P6" s="492" t="s">
        <v>19</v>
      </c>
      <c r="Q6" s="484"/>
      <c r="R6" s="485"/>
      <c r="S6" s="486"/>
      <c r="T6" s="507" t="s">
        <v>1</v>
      </c>
      <c r="U6" s="488"/>
      <c r="V6" s="488"/>
      <c r="W6" s="488"/>
      <c r="X6" s="488"/>
      <c r="Y6" s="492" t="s">
        <v>19</v>
      </c>
      <c r="Z6" s="484"/>
      <c r="AA6" s="485"/>
      <c r="AB6" s="506"/>
      <c r="AC6" s="518" t="s">
        <v>3</v>
      </c>
      <c r="AD6" s="518"/>
      <c r="AE6" s="518" t="s">
        <v>44</v>
      </c>
      <c r="AF6" s="518" t="s">
        <v>3</v>
      </c>
      <c r="AG6" s="518"/>
      <c r="AH6" s="518" t="s">
        <v>44</v>
      </c>
      <c r="AI6" s="518" t="s">
        <v>3</v>
      </c>
      <c r="AJ6" s="518"/>
      <c r="AK6" s="518" t="s">
        <v>44</v>
      </c>
      <c r="AL6" s="516" t="s">
        <v>43</v>
      </c>
      <c r="AM6" s="516" t="s">
        <v>44</v>
      </c>
      <c r="AN6" s="514" t="s">
        <v>17</v>
      </c>
      <c r="AP6" s="182"/>
    </row>
    <row r="7" spans="1:42" s="55" customFormat="1" ht="44.25" customHeight="1">
      <c r="A7" s="503"/>
      <c r="B7" s="126">
        <v>1</v>
      </c>
      <c r="C7" s="126">
        <v>2</v>
      </c>
      <c r="D7" s="126">
        <v>3</v>
      </c>
      <c r="E7" s="126">
        <v>4</v>
      </c>
      <c r="F7" s="126" t="s">
        <v>2</v>
      </c>
      <c r="G7" s="493"/>
      <c r="H7" s="139" t="s">
        <v>10</v>
      </c>
      <c r="I7" s="139" t="s">
        <v>17</v>
      </c>
      <c r="J7" s="140" t="s">
        <v>16</v>
      </c>
      <c r="K7" s="212">
        <v>1</v>
      </c>
      <c r="L7" s="126">
        <v>2</v>
      </c>
      <c r="M7" s="126">
        <v>3</v>
      </c>
      <c r="N7" s="126">
        <v>4</v>
      </c>
      <c r="O7" s="126" t="s">
        <v>2</v>
      </c>
      <c r="P7" s="493"/>
      <c r="Q7" s="139" t="s">
        <v>9</v>
      </c>
      <c r="R7" s="139" t="s">
        <v>17</v>
      </c>
      <c r="S7" s="140" t="s">
        <v>16</v>
      </c>
      <c r="T7" s="210">
        <v>1</v>
      </c>
      <c r="U7" s="116">
        <v>2</v>
      </c>
      <c r="V7" s="116">
        <v>3</v>
      </c>
      <c r="W7" s="116">
        <v>4</v>
      </c>
      <c r="X7" s="116" t="s">
        <v>2</v>
      </c>
      <c r="Y7" s="493"/>
      <c r="Z7" s="141" t="s">
        <v>9</v>
      </c>
      <c r="AA7" s="141" t="s">
        <v>17</v>
      </c>
      <c r="AB7" s="142" t="s">
        <v>16</v>
      </c>
      <c r="AC7" s="230" t="s">
        <v>24</v>
      </c>
      <c r="AD7" s="230" t="s">
        <v>43</v>
      </c>
      <c r="AE7" s="518"/>
      <c r="AF7" s="111" t="s">
        <v>24</v>
      </c>
      <c r="AG7" s="111" t="s">
        <v>43</v>
      </c>
      <c r="AH7" s="518"/>
      <c r="AI7" s="181" t="s">
        <v>24</v>
      </c>
      <c r="AJ7" s="181" t="s">
        <v>43</v>
      </c>
      <c r="AK7" s="518"/>
      <c r="AL7" s="517"/>
      <c r="AM7" s="517"/>
      <c r="AN7" s="515"/>
      <c r="AP7" s="182"/>
    </row>
    <row r="8" spans="1:42" s="55" customFormat="1" ht="24.75" customHeight="1">
      <c r="A8" s="127" t="s">
        <v>5</v>
      </c>
      <c r="B8" s="8">
        <f>0+6+0</f>
        <v>6</v>
      </c>
      <c r="C8" s="8"/>
      <c r="D8" s="8"/>
      <c r="E8" s="8"/>
      <c r="F8" s="8">
        <f>SUM(B8:E8)</f>
        <v>6</v>
      </c>
      <c r="G8" s="38">
        <v>6</v>
      </c>
      <c r="H8" s="9">
        <v>6</v>
      </c>
      <c r="I8" s="10">
        <f>H8*100/G8</f>
        <v>100</v>
      </c>
      <c r="J8" s="39">
        <v>6</v>
      </c>
      <c r="K8" s="213">
        <f>0+3+0</f>
        <v>3</v>
      </c>
      <c r="L8" s="8"/>
      <c r="M8" s="8"/>
      <c r="N8" s="8"/>
      <c r="O8" s="8">
        <f>SUM(K8:N8)</f>
        <v>3</v>
      </c>
      <c r="P8" s="38">
        <v>3</v>
      </c>
      <c r="Q8" s="9">
        <v>3</v>
      </c>
      <c r="R8" s="9">
        <f>Q8*100/P8</f>
        <v>100</v>
      </c>
      <c r="S8" s="214">
        <v>3</v>
      </c>
      <c r="T8" s="41">
        <f>0+3+0</f>
        <v>3</v>
      </c>
      <c r="U8" s="8"/>
      <c r="V8" s="8"/>
      <c r="W8" s="8"/>
      <c r="X8" s="8">
        <f>SUM(T8:W8)</f>
        <v>3</v>
      </c>
      <c r="Y8" s="38">
        <v>3</v>
      </c>
      <c r="Z8" s="9">
        <v>3</v>
      </c>
      <c r="AA8" s="9">
        <f>Z8*100/Y8</f>
        <v>100</v>
      </c>
      <c r="AB8" s="9">
        <v>3</v>
      </c>
      <c r="AC8" s="58"/>
      <c r="AD8" s="232"/>
      <c r="AE8" s="88"/>
      <c r="AF8" s="58"/>
      <c r="AG8" s="62"/>
      <c r="AH8" s="88"/>
      <c r="AI8" s="58"/>
      <c r="AJ8" s="220"/>
      <c r="AK8" s="88"/>
      <c r="AL8" s="98"/>
      <c r="AM8" s="99"/>
      <c r="AN8" s="128"/>
    </row>
    <row r="9" spans="1:42" s="55" customFormat="1" ht="24.75" customHeight="1">
      <c r="A9" s="261" t="s">
        <v>68</v>
      </c>
      <c r="B9" s="262">
        <f>0+3+0</f>
        <v>3</v>
      </c>
      <c r="C9" s="262"/>
      <c r="D9" s="262"/>
      <c r="E9" s="262"/>
      <c r="F9" s="12">
        <f t="shared" ref="F9:F14" si="0">SUM(B9:E9)</f>
        <v>3</v>
      </c>
      <c r="G9" s="263">
        <v>3</v>
      </c>
      <c r="H9" s="268">
        <v>3</v>
      </c>
      <c r="I9" s="264">
        <f>H9*100/G9</f>
        <v>100</v>
      </c>
      <c r="J9" s="265">
        <v>3</v>
      </c>
      <c r="K9" s="266">
        <f>0+2+0</f>
        <v>2</v>
      </c>
      <c r="L9" s="262"/>
      <c r="M9" s="262"/>
      <c r="N9" s="262"/>
      <c r="O9" s="12">
        <f t="shared" ref="O9:O14" si="1">SUM(K9:N9)</f>
        <v>2</v>
      </c>
      <c r="P9" s="263">
        <v>2</v>
      </c>
      <c r="Q9" s="268">
        <v>2</v>
      </c>
      <c r="R9" s="268">
        <f>Q9*100/P9</f>
        <v>100</v>
      </c>
      <c r="S9" s="265">
        <v>2</v>
      </c>
      <c r="T9" s="269">
        <f>0+3+0</f>
        <v>3</v>
      </c>
      <c r="U9" s="262"/>
      <c r="V9" s="262"/>
      <c r="W9" s="262"/>
      <c r="X9" s="12">
        <f t="shared" ref="X9:X14" si="2">SUM(T9:W9)</f>
        <v>3</v>
      </c>
      <c r="Y9" s="263">
        <v>3</v>
      </c>
      <c r="Z9" s="268">
        <v>3</v>
      </c>
      <c r="AA9" s="268">
        <f>Z9*100/Y9</f>
        <v>100</v>
      </c>
      <c r="AB9" s="268">
        <v>3</v>
      </c>
      <c r="AC9" s="94"/>
      <c r="AD9" s="271"/>
      <c r="AE9" s="272"/>
      <c r="AF9" s="94"/>
      <c r="AG9" s="267"/>
      <c r="AH9" s="272"/>
      <c r="AI9" s="94"/>
      <c r="AJ9" s="270"/>
      <c r="AK9" s="272"/>
      <c r="AL9" s="273"/>
      <c r="AM9" s="274"/>
      <c r="AN9" s="275"/>
    </row>
    <row r="10" spans="1:42" s="55" customFormat="1" ht="24.75" customHeight="1">
      <c r="A10" s="261" t="s">
        <v>69</v>
      </c>
      <c r="B10" s="262">
        <f>0+5+0</f>
        <v>5</v>
      </c>
      <c r="C10" s="262"/>
      <c r="D10" s="262"/>
      <c r="E10" s="262"/>
      <c r="F10" s="12">
        <f t="shared" si="0"/>
        <v>5</v>
      </c>
      <c r="G10" s="263">
        <v>5</v>
      </c>
      <c r="H10" s="268">
        <v>5</v>
      </c>
      <c r="I10" s="264">
        <f t="shared" ref="I10:I14" si="3">H10*100/G10</f>
        <v>100</v>
      </c>
      <c r="J10" s="265">
        <v>5</v>
      </c>
      <c r="K10" s="266">
        <f>0+2+0</f>
        <v>2</v>
      </c>
      <c r="L10" s="262"/>
      <c r="M10" s="262"/>
      <c r="N10" s="262"/>
      <c r="O10" s="12">
        <f t="shared" si="1"/>
        <v>2</v>
      </c>
      <c r="P10" s="263">
        <v>2</v>
      </c>
      <c r="Q10" s="268">
        <v>2</v>
      </c>
      <c r="R10" s="268">
        <f>Q10*100/P10</f>
        <v>100</v>
      </c>
      <c r="S10" s="265">
        <v>2</v>
      </c>
      <c r="T10" s="269">
        <f>0+2+0</f>
        <v>2</v>
      </c>
      <c r="U10" s="262"/>
      <c r="V10" s="262"/>
      <c r="W10" s="262"/>
      <c r="X10" s="12">
        <f t="shared" si="2"/>
        <v>2</v>
      </c>
      <c r="Y10" s="263">
        <v>2</v>
      </c>
      <c r="Z10" s="268">
        <v>2</v>
      </c>
      <c r="AA10" s="268">
        <f t="shared" ref="AA10:AA14" si="4">Z10*100/Y10</f>
        <v>100</v>
      </c>
      <c r="AB10" s="268">
        <v>2</v>
      </c>
      <c r="AC10" s="94"/>
      <c r="AD10" s="271"/>
      <c r="AE10" s="272"/>
      <c r="AF10" s="94"/>
      <c r="AG10" s="267"/>
      <c r="AH10" s="272"/>
      <c r="AI10" s="94"/>
      <c r="AJ10" s="270"/>
      <c r="AK10" s="272"/>
      <c r="AL10" s="273"/>
      <c r="AM10" s="274"/>
      <c r="AN10" s="275"/>
    </row>
    <row r="11" spans="1:42" s="55" customFormat="1" ht="24.75" customHeight="1">
      <c r="A11" s="129" t="s">
        <v>6</v>
      </c>
      <c r="B11" s="12">
        <f>0+9+0</f>
        <v>9</v>
      </c>
      <c r="C11" s="12"/>
      <c r="D11" s="12"/>
      <c r="E11" s="12"/>
      <c r="F11" s="12">
        <f t="shared" si="0"/>
        <v>9</v>
      </c>
      <c r="G11" s="40">
        <v>9</v>
      </c>
      <c r="H11" s="1">
        <v>9</v>
      </c>
      <c r="I11" s="264">
        <f t="shared" si="3"/>
        <v>100</v>
      </c>
      <c r="J11" s="17">
        <v>10</v>
      </c>
      <c r="K11" s="215">
        <f>0+3+0</f>
        <v>3</v>
      </c>
      <c r="L11" s="12"/>
      <c r="M11" s="12"/>
      <c r="N11" s="12"/>
      <c r="O11" s="12">
        <f t="shared" si="1"/>
        <v>3</v>
      </c>
      <c r="P11" s="40">
        <v>3</v>
      </c>
      <c r="Q11" s="1">
        <v>3</v>
      </c>
      <c r="R11" s="268">
        <f t="shared" ref="R11:R14" si="5">Q11*100/P11</f>
        <v>100</v>
      </c>
      <c r="S11" s="17">
        <v>3</v>
      </c>
      <c r="T11" s="211">
        <f>0+4+0</f>
        <v>4</v>
      </c>
      <c r="U11" s="12"/>
      <c r="V11" s="12"/>
      <c r="W11" s="12"/>
      <c r="X11" s="12">
        <f t="shared" si="2"/>
        <v>4</v>
      </c>
      <c r="Y11" s="40">
        <v>4</v>
      </c>
      <c r="Z11" s="1">
        <v>4</v>
      </c>
      <c r="AA11" s="268">
        <f t="shared" si="4"/>
        <v>100</v>
      </c>
      <c r="AB11" s="1">
        <v>4</v>
      </c>
      <c r="AC11" s="59"/>
      <c r="AD11" s="233"/>
      <c r="AE11" s="20"/>
      <c r="AF11" s="59"/>
      <c r="AG11" s="64"/>
      <c r="AH11" s="20"/>
      <c r="AI11" s="59"/>
      <c r="AJ11" s="64"/>
      <c r="AK11" s="20"/>
      <c r="AL11" s="100"/>
      <c r="AM11" s="101"/>
      <c r="AN11" s="130"/>
    </row>
    <row r="12" spans="1:42" s="55" customFormat="1" ht="24.75" customHeight="1">
      <c r="A12" s="129" t="s">
        <v>70</v>
      </c>
      <c r="B12" s="12">
        <f>0+8+0</f>
        <v>8</v>
      </c>
      <c r="C12" s="12"/>
      <c r="D12" s="12"/>
      <c r="E12" s="12"/>
      <c r="F12" s="12">
        <f t="shared" si="0"/>
        <v>8</v>
      </c>
      <c r="G12" s="40">
        <v>8</v>
      </c>
      <c r="H12" s="1">
        <v>8</v>
      </c>
      <c r="I12" s="264">
        <f t="shared" si="3"/>
        <v>100</v>
      </c>
      <c r="J12" s="17">
        <v>8</v>
      </c>
      <c r="K12" s="215">
        <f>0+0+0</f>
        <v>0</v>
      </c>
      <c r="L12" s="12"/>
      <c r="M12" s="12"/>
      <c r="N12" s="12"/>
      <c r="O12" s="12">
        <f t="shared" si="1"/>
        <v>0</v>
      </c>
      <c r="P12" s="40">
        <v>0</v>
      </c>
      <c r="Q12" s="1"/>
      <c r="R12" s="268"/>
      <c r="S12" s="17"/>
      <c r="T12" s="211">
        <f>0+3+0</f>
        <v>3</v>
      </c>
      <c r="U12" s="12"/>
      <c r="V12" s="12"/>
      <c r="W12" s="12"/>
      <c r="X12" s="12">
        <f t="shared" si="2"/>
        <v>3</v>
      </c>
      <c r="Y12" s="40">
        <v>3</v>
      </c>
      <c r="Z12" s="1">
        <v>3</v>
      </c>
      <c r="AA12" s="268">
        <f t="shared" si="4"/>
        <v>100</v>
      </c>
      <c r="AB12" s="1">
        <v>3</v>
      </c>
      <c r="AC12" s="59"/>
      <c r="AD12" s="233"/>
      <c r="AE12" s="20"/>
      <c r="AF12" s="59"/>
      <c r="AG12" s="64"/>
      <c r="AH12" s="20"/>
      <c r="AI12" s="59"/>
      <c r="AJ12" s="64"/>
      <c r="AK12" s="20"/>
      <c r="AL12" s="100"/>
      <c r="AM12" s="101"/>
      <c r="AN12" s="130"/>
    </row>
    <row r="13" spans="1:42" s="55" customFormat="1" ht="24.75" customHeight="1">
      <c r="A13" s="129" t="s">
        <v>64</v>
      </c>
      <c r="B13" s="12">
        <f>0+14+0</f>
        <v>14</v>
      </c>
      <c r="C13" s="12"/>
      <c r="D13" s="12"/>
      <c r="E13" s="12"/>
      <c r="F13" s="12">
        <f t="shared" si="0"/>
        <v>14</v>
      </c>
      <c r="G13" s="40">
        <v>14</v>
      </c>
      <c r="H13" s="1">
        <v>14</v>
      </c>
      <c r="I13" s="264">
        <f t="shared" si="3"/>
        <v>100</v>
      </c>
      <c r="J13" s="17">
        <v>14</v>
      </c>
      <c r="K13" s="215">
        <f>0+7+0</f>
        <v>7</v>
      </c>
      <c r="L13" s="12"/>
      <c r="M13" s="12"/>
      <c r="N13" s="12"/>
      <c r="O13" s="12">
        <f t="shared" si="1"/>
        <v>7</v>
      </c>
      <c r="P13" s="40">
        <v>7</v>
      </c>
      <c r="Q13" s="1">
        <v>7</v>
      </c>
      <c r="R13" s="268">
        <f t="shared" si="5"/>
        <v>100</v>
      </c>
      <c r="S13" s="17">
        <v>7</v>
      </c>
      <c r="T13" s="211">
        <f>0+6+0</f>
        <v>6</v>
      </c>
      <c r="U13" s="12"/>
      <c r="V13" s="12"/>
      <c r="W13" s="12"/>
      <c r="X13" s="12">
        <f t="shared" si="2"/>
        <v>6</v>
      </c>
      <c r="Y13" s="40">
        <v>6</v>
      </c>
      <c r="Z13" s="1">
        <v>6</v>
      </c>
      <c r="AA13" s="268">
        <f t="shared" si="4"/>
        <v>100</v>
      </c>
      <c r="AB13" s="1">
        <v>6</v>
      </c>
      <c r="AC13" s="59"/>
      <c r="AD13" s="233"/>
      <c r="AE13" s="20"/>
      <c r="AF13" s="59"/>
      <c r="AG13" s="64"/>
      <c r="AH13" s="83"/>
      <c r="AI13" s="59"/>
      <c r="AJ13" s="64"/>
      <c r="AK13" s="20"/>
      <c r="AL13" s="100"/>
      <c r="AM13" s="101"/>
      <c r="AN13" s="130"/>
    </row>
    <row r="14" spans="1:42" s="55" customFormat="1" ht="24.75" customHeight="1">
      <c r="A14" s="131" t="s">
        <v>7</v>
      </c>
      <c r="B14" s="2">
        <f>0+3+0</f>
        <v>3</v>
      </c>
      <c r="C14" s="2"/>
      <c r="D14" s="2"/>
      <c r="E14" s="2"/>
      <c r="F14" s="12">
        <f t="shared" si="0"/>
        <v>3</v>
      </c>
      <c r="G14" s="40">
        <v>3</v>
      </c>
      <c r="H14" s="1">
        <v>3</v>
      </c>
      <c r="I14" s="264">
        <f t="shared" si="3"/>
        <v>100</v>
      </c>
      <c r="J14" s="17">
        <v>3</v>
      </c>
      <c r="K14" s="216">
        <f>0+2+0</f>
        <v>2</v>
      </c>
      <c r="L14" s="217"/>
      <c r="M14" s="217"/>
      <c r="N14" s="217"/>
      <c r="O14" s="12">
        <f t="shared" si="1"/>
        <v>2</v>
      </c>
      <c r="P14" s="87">
        <v>2</v>
      </c>
      <c r="Q14" s="1">
        <v>2</v>
      </c>
      <c r="R14" s="170">
        <f t="shared" si="5"/>
        <v>100</v>
      </c>
      <c r="S14" s="17">
        <v>2</v>
      </c>
      <c r="T14" s="42">
        <f>0+2+0</f>
        <v>2</v>
      </c>
      <c r="U14" s="2"/>
      <c r="V14" s="2"/>
      <c r="W14" s="2"/>
      <c r="X14" s="12">
        <f t="shared" si="2"/>
        <v>2</v>
      </c>
      <c r="Y14" s="16">
        <v>2</v>
      </c>
      <c r="Z14" s="3">
        <v>2</v>
      </c>
      <c r="AA14" s="268">
        <f t="shared" si="4"/>
        <v>100</v>
      </c>
      <c r="AB14" s="3">
        <v>2</v>
      </c>
      <c r="AC14" s="59"/>
      <c r="AD14" s="234"/>
      <c r="AE14" s="89"/>
      <c r="AF14" s="59"/>
      <c r="AG14" s="64"/>
      <c r="AH14" s="89"/>
      <c r="AI14" s="59"/>
      <c r="AJ14" s="66"/>
      <c r="AK14" s="89"/>
      <c r="AL14" s="102"/>
      <c r="AM14" s="103"/>
      <c r="AN14" s="132"/>
    </row>
    <row r="15" spans="1:42" s="55" customFormat="1" ht="24.75" customHeight="1">
      <c r="A15" s="133" t="s">
        <v>4</v>
      </c>
      <c r="B15" s="37">
        <f>SUM(B8:B14)</f>
        <v>48</v>
      </c>
      <c r="C15" s="37"/>
      <c r="D15" s="37"/>
      <c r="E15" s="37"/>
      <c r="F15" s="37">
        <f>SUM(F8:F14)</f>
        <v>48</v>
      </c>
      <c r="G15" s="21">
        <f>SUM(G8:G14)</f>
        <v>48</v>
      </c>
      <c r="H15" s="18">
        <f>SUM(H8:H14)</f>
        <v>48</v>
      </c>
      <c r="I15" s="61">
        <f>H15*100/G15</f>
        <v>100</v>
      </c>
      <c r="J15" s="22">
        <f>SUM(J8:J14)</f>
        <v>49</v>
      </c>
      <c r="K15" s="218">
        <f>SUM(K8:K14)</f>
        <v>19</v>
      </c>
      <c r="L15" s="37">
        <f>SUM(L8:L14)</f>
        <v>0</v>
      </c>
      <c r="M15" s="37"/>
      <c r="N15" s="37"/>
      <c r="O15" s="37">
        <f>SUM(O8:O14)</f>
        <v>19</v>
      </c>
      <c r="P15" s="23">
        <f>SUM(P8:P14)</f>
        <v>19</v>
      </c>
      <c r="Q15" s="18">
        <f>SUM(Q8:Q14)</f>
        <v>19</v>
      </c>
      <c r="R15" s="31">
        <f>Q15*100/P15</f>
        <v>100</v>
      </c>
      <c r="S15" s="219">
        <f>SUM(S8:S14)</f>
        <v>19</v>
      </c>
      <c r="T15" s="43">
        <f>SUM(T8:T14)</f>
        <v>23</v>
      </c>
      <c r="U15" s="37"/>
      <c r="V15" s="37"/>
      <c r="W15" s="37"/>
      <c r="X15" s="37">
        <f>SUM(X8:X14)</f>
        <v>23</v>
      </c>
      <c r="Y15" s="23">
        <f>SUM(Y8:Y14)</f>
        <v>23</v>
      </c>
      <c r="Z15" s="18">
        <f>SUM(Z8:Z14)</f>
        <v>23</v>
      </c>
      <c r="AA15" s="18">
        <f>Z15*100/Y15</f>
        <v>100</v>
      </c>
      <c r="AB15" s="18">
        <f>SUM(AB8:AB14)</f>
        <v>23</v>
      </c>
      <c r="AC15" s="44"/>
      <c r="AD15" s="183">
        <f>SUM(AD8:AD14)</f>
        <v>0</v>
      </c>
      <c r="AE15" s="24">
        <f>SUM(AE8:AE14)</f>
        <v>0</v>
      </c>
      <c r="AF15" s="44"/>
      <c r="AG15" s="24">
        <f>SUM(AG8:AG14)</f>
        <v>0</v>
      </c>
      <c r="AH15" s="24">
        <f>SUM(AH8:AH14)</f>
        <v>0</v>
      </c>
      <c r="AI15" s="44"/>
      <c r="AJ15" s="24">
        <f>SUM(AJ8:AJ14)</f>
        <v>0</v>
      </c>
      <c r="AK15" s="24">
        <f>SUM(AK8:AK14)</f>
        <v>0</v>
      </c>
      <c r="AL15" s="104">
        <f>SUM(AL8:AL14)</f>
        <v>0</v>
      </c>
      <c r="AM15" s="105">
        <f>SUM(AM8:AM14)</f>
        <v>0</v>
      </c>
      <c r="AN15" s="240" t="e">
        <f>AM15*100/AL15</f>
        <v>#DIV/0!</v>
      </c>
    </row>
    <row r="16" spans="1:42" ht="24.75" customHeight="1">
      <c r="F16" s="25" t="s">
        <v>20</v>
      </c>
      <c r="Q16" s="81"/>
      <c r="AC16" s="75"/>
      <c r="AD16" s="110"/>
      <c r="AE16" s="110"/>
      <c r="AF16" s="134"/>
      <c r="AG16" s="110"/>
      <c r="AH16" s="110"/>
      <c r="AI16" s="184"/>
      <c r="AJ16" s="110"/>
      <c r="AK16" s="110"/>
      <c r="AL16" s="184"/>
      <c r="AM16" s="238"/>
    </row>
    <row r="17" spans="1:40" ht="17.25" customHeight="1">
      <c r="A17" s="221"/>
      <c r="B17" s="476"/>
      <c r="C17" s="476"/>
      <c r="D17" s="222"/>
      <c r="Q17" s="81"/>
      <c r="T17" s="500" t="s">
        <v>59</v>
      </c>
      <c r="U17" s="500"/>
      <c r="V17" s="500"/>
      <c r="W17" s="500"/>
      <c r="AC17" s="75"/>
      <c r="AD17" s="135"/>
      <c r="AE17" s="75"/>
    </row>
    <row r="18" spans="1:40" ht="17.25" customHeight="1">
      <c r="A18" s="47"/>
      <c r="B18" s="476"/>
      <c r="C18" s="476"/>
      <c r="D18" s="222"/>
      <c r="E18" s="26"/>
      <c r="F18" s="26"/>
      <c r="G18" s="26"/>
      <c r="H18" s="26"/>
      <c r="I18" s="26"/>
      <c r="J18" s="26"/>
      <c r="K18" s="82"/>
      <c r="L18" s="26"/>
      <c r="T18" s="476" t="s">
        <v>60</v>
      </c>
      <c r="U18" s="476"/>
      <c r="V18" s="501">
        <f>G15+P15+Y15</f>
        <v>90</v>
      </c>
      <c r="W18" s="501"/>
      <c r="X18" s="25" t="s">
        <v>9</v>
      </c>
    </row>
    <row r="19" spans="1:40" ht="17.25" customHeight="1">
      <c r="A19" s="47"/>
      <c r="B19" s="136"/>
      <c r="C19" s="26"/>
      <c r="D19" s="222"/>
      <c r="E19" s="26"/>
      <c r="F19" s="26"/>
      <c r="G19" s="26"/>
      <c r="H19" s="26"/>
      <c r="I19" s="26"/>
      <c r="J19" s="26"/>
      <c r="K19" s="82"/>
      <c r="L19" s="26"/>
      <c r="T19" s="476" t="s">
        <v>61</v>
      </c>
      <c r="U19" s="476"/>
      <c r="V19" s="501">
        <f>H15+Q15+Z15</f>
        <v>90</v>
      </c>
      <c r="W19" s="501"/>
      <c r="X19" s="25" t="s">
        <v>9</v>
      </c>
    </row>
    <row r="20" spans="1:40" ht="20.25" customHeight="1" thickBot="1">
      <c r="A20" s="47"/>
      <c r="B20" s="136"/>
      <c r="C20" s="26"/>
      <c r="D20" s="222"/>
      <c r="E20" s="26"/>
      <c r="F20" s="26"/>
      <c r="G20" s="26"/>
      <c r="H20" s="26"/>
      <c r="I20" s="26"/>
      <c r="J20" s="26"/>
      <c r="K20" s="82"/>
      <c r="L20" s="26"/>
      <c r="T20" s="495"/>
      <c r="U20" s="495"/>
      <c r="V20" s="223"/>
      <c r="W20" s="224"/>
      <c r="X20" s="224"/>
      <c r="Y20" s="225">
        <f>G8+P8+Y8</f>
        <v>12</v>
      </c>
      <c r="Z20" s="225">
        <f>H8+Q8+Z8</f>
        <v>12</v>
      </c>
      <c r="AA20" s="226"/>
    </row>
    <row r="21" spans="1:40" ht="21.75" customHeight="1">
      <c r="A21" s="478" t="s">
        <v>28</v>
      </c>
      <c r="B21" s="479"/>
      <c r="C21" s="479"/>
      <c r="D21" s="259"/>
      <c r="E21" s="259"/>
      <c r="F21" s="259"/>
      <c r="G21" s="259"/>
      <c r="H21" s="259"/>
      <c r="I21" s="259"/>
      <c r="J21" s="480"/>
      <c r="K21" s="480"/>
      <c r="L21" s="480"/>
      <c r="M21" s="480"/>
      <c r="N21" s="480"/>
      <c r="O21" s="480"/>
      <c r="P21" s="480"/>
      <c r="Q21" s="260"/>
      <c r="R21" s="260"/>
      <c r="S21" s="260"/>
      <c r="T21" s="260"/>
      <c r="U21" s="260"/>
      <c r="V21" s="260"/>
      <c r="W21" s="50"/>
      <c r="X21" s="293">
        <f>G13+P13+Y13</f>
        <v>27</v>
      </c>
      <c r="Y21" s="293">
        <f>H13+Q13+Z13</f>
        <v>27</v>
      </c>
      <c r="Z21" s="299"/>
      <c r="AA21" s="50"/>
      <c r="AB21" s="51"/>
      <c r="AC21" s="49"/>
      <c r="AM21" s="109"/>
      <c r="AN21" s="25"/>
    </row>
    <row r="22" spans="1:40" ht="20.25" customHeight="1">
      <c r="A22" s="472" t="s">
        <v>8</v>
      </c>
      <c r="B22" s="473"/>
      <c r="C22" s="276" t="s">
        <v>71</v>
      </c>
      <c r="D22" s="277"/>
      <c r="E22" s="277"/>
      <c r="F22" s="277"/>
      <c r="G22" s="277"/>
      <c r="H22" s="277"/>
      <c r="I22" s="277"/>
      <c r="J22" s="278"/>
      <c r="K22" s="278"/>
      <c r="L22" s="278"/>
      <c r="M22" s="278"/>
      <c r="N22" s="278"/>
      <c r="O22" s="278"/>
      <c r="P22" s="278"/>
      <c r="Q22" s="279"/>
      <c r="R22" s="279"/>
      <c r="S22" s="279"/>
      <c r="T22" s="279"/>
      <c r="U22" s="279"/>
      <c r="V22" s="279"/>
      <c r="W22" s="49"/>
      <c r="X22" s="227"/>
      <c r="Y22" s="227"/>
      <c r="Z22" s="303" t="s">
        <v>89</v>
      </c>
      <c r="AA22" s="303"/>
      <c r="AB22" s="300"/>
      <c r="AC22" s="49"/>
      <c r="AM22" s="109"/>
      <c r="AN22" s="25"/>
    </row>
    <row r="23" spans="1:40" ht="20.25" customHeight="1">
      <c r="A23" s="280"/>
      <c r="B23" s="281"/>
      <c r="C23" s="276" t="s">
        <v>72</v>
      </c>
      <c r="D23" s="277"/>
      <c r="E23" s="277"/>
      <c r="F23" s="277"/>
      <c r="G23" s="277"/>
      <c r="H23" s="277"/>
      <c r="I23" s="277"/>
      <c r="J23" s="278"/>
      <c r="K23" s="278"/>
      <c r="L23" s="278"/>
      <c r="M23" s="278"/>
      <c r="N23" s="278"/>
      <c r="O23" s="278"/>
      <c r="P23" s="278"/>
      <c r="Q23" s="279"/>
      <c r="R23" s="279"/>
      <c r="S23" s="279"/>
      <c r="T23" s="279"/>
      <c r="U23" s="282"/>
      <c r="V23" s="279"/>
      <c r="W23" s="49"/>
      <c r="X23" s="227">
        <f>SUM(Y20:Y22)</f>
        <v>39</v>
      </c>
      <c r="Y23" s="227"/>
      <c r="Z23" s="303"/>
      <c r="AA23" s="303"/>
      <c r="AB23" s="300"/>
      <c r="AC23" s="49"/>
      <c r="AM23" s="109"/>
      <c r="AN23" s="25"/>
    </row>
    <row r="24" spans="1:40" ht="20.25" customHeight="1">
      <c r="A24" s="280"/>
      <c r="B24" s="281"/>
      <c r="C24" s="276" t="s">
        <v>73</v>
      </c>
      <c r="D24" s="277"/>
      <c r="E24" s="277"/>
      <c r="F24" s="277"/>
      <c r="G24" s="277"/>
      <c r="H24" s="277"/>
      <c r="I24" s="277"/>
      <c r="J24" s="278"/>
      <c r="K24" s="278"/>
      <c r="L24" s="278"/>
      <c r="M24" s="278"/>
      <c r="N24" s="278"/>
      <c r="O24" s="278"/>
      <c r="P24" s="278"/>
      <c r="Q24" s="279"/>
      <c r="R24" s="279"/>
      <c r="S24" s="279"/>
      <c r="T24" s="279"/>
      <c r="U24" s="282"/>
      <c r="V24" s="279"/>
      <c r="W24" s="49"/>
      <c r="X24" s="227"/>
      <c r="Y24" s="227"/>
      <c r="Z24" s="303" t="s">
        <v>90</v>
      </c>
      <c r="AA24" s="303"/>
      <c r="AB24" s="300"/>
      <c r="AC24" s="49"/>
      <c r="AM24" s="109"/>
      <c r="AN24" s="25"/>
    </row>
    <row r="25" spans="1:40" ht="20.25" customHeight="1">
      <c r="A25" s="474" t="s">
        <v>23</v>
      </c>
      <c r="B25" s="475"/>
      <c r="C25" s="283" t="s">
        <v>74</v>
      </c>
      <c r="D25" s="277"/>
      <c r="E25" s="284"/>
      <c r="F25" s="284"/>
      <c r="G25" s="284"/>
      <c r="H25" s="285"/>
      <c r="I25" s="285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49"/>
      <c r="X25" s="49"/>
      <c r="Y25" s="49"/>
      <c r="Z25" s="471" t="s">
        <v>89</v>
      </c>
      <c r="AA25" s="471"/>
      <c r="AB25" s="300"/>
      <c r="AC25" s="49"/>
      <c r="AM25" s="109"/>
      <c r="AN25" s="25"/>
    </row>
    <row r="26" spans="1:40" ht="20.25" customHeight="1">
      <c r="A26" s="288"/>
      <c r="B26" s="289"/>
      <c r="C26" s="283" t="s">
        <v>75</v>
      </c>
      <c r="D26" s="277"/>
      <c r="E26" s="284"/>
      <c r="F26" s="284"/>
      <c r="G26" s="284"/>
      <c r="H26" s="285"/>
      <c r="I26" s="285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49"/>
      <c r="X26" s="49"/>
      <c r="Y26" s="49"/>
      <c r="Z26" s="471"/>
      <c r="AA26" s="471"/>
      <c r="AB26" s="300"/>
      <c r="AC26" s="49"/>
      <c r="AM26" s="109"/>
      <c r="AN26" s="25"/>
    </row>
    <row r="27" spans="1:40" ht="20.25" customHeight="1">
      <c r="A27" s="288"/>
      <c r="B27" s="289"/>
      <c r="C27" s="283" t="s">
        <v>76</v>
      </c>
      <c r="D27" s="277"/>
      <c r="E27" s="284"/>
      <c r="F27" s="284"/>
      <c r="G27" s="284"/>
      <c r="H27" s="285"/>
      <c r="I27" s="285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49"/>
      <c r="X27" s="49"/>
      <c r="Y27" s="49"/>
      <c r="Z27" s="471" t="s">
        <v>51</v>
      </c>
      <c r="AA27" s="471"/>
      <c r="AB27" s="300"/>
      <c r="AC27" s="49"/>
      <c r="AM27" s="109"/>
      <c r="AN27" s="25"/>
    </row>
    <row r="28" spans="1:40" ht="20.25" customHeight="1">
      <c r="A28" s="288"/>
      <c r="B28" s="289"/>
      <c r="C28" s="283" t="s">
        <v>77</v>
      </c>
      <c r="D28" s="277"/>
      <c r="E28" s="284"/>
      <c r="F28" s="284"/>
      <c r="G28" s="284"/>
      <c r="H28" s="285"/>
      <c r="I28" s="285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49"/>
      <c r="X28" s="49"/>
      <c r="Y28" s="49"/>
      <c r="Z28" s="471"/>
      <c r="AA28" s="471"/>
      <c r="AB28" s="300"/>
      <c r="AC28" s="49"/>
      <c r="AM28" s="109"/>
      <c r="AN28" s="25"/>
    </row>
    <row r="29" spans="1:40" ht="20.25" customHeight="1">
      <c r="A29" s="288"/>
      <c r="B29" s="289"/>
      <c r="C29" s="283" t="s">
        <v>78</v>
      </c>
      <c r="D29" s="277"/>
      <c r="E29" s="284"/>
      <c r="F29" s="284"/>
      <c r="G29" s="284"/>
      <c r="H29" s="285"/>
      <c r="I29" s="285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49"/>
      <c r="X29" s="49"/>
      <c r="Y29" s="49"/>
      <c r="Z29" s="471" t="s">
        <v>53</v>
      </c>
      <c r="AA29" s="471"/>
      <c r="AB29" s="300"/>
      <c r="AC29" s="49"/>
      <c r="AM29" s="109"/>
      <c r="AN29" s="25"/>
    </row>
    <row r="30" spans="1:40" ht="11.25" customHeight="1" thickBot="1">
      <c r="A30" s="290"/>
      <c r="B30" s="291"/>
      <c r="C30" s="291"/>
      <c r="D30" s="291"/>
      <c r="E30" s="291"/>
      <c r="F30" s="291"/>
      <c r="G30" s="291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52"/>
      <c r="X30" s="52"/>
      <c r="Y30" s="52"/>
      <c r="Z30" s="301"/>
      <c r="AA30" s="301"/>
      <c r="AB30" s="302"/>
      <c r="AC30" s="49"/>
      <c r="AM30" s="109"/>
      <c r="AN30" s="25"/>
    </row>
    <row r="31" spans="1:40" ht="27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40" ht="27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28" ht="27.75" customHeight="1">
      <c r="A33" s="137"/>
    </row>
    <row r="34" spans="1:28" ht="27.75" customHeight="1">
      <c r="F34" s="77"/>
      <c r="G34" s="77"/>
      <c r="H34" s="77"/>
      <c r="I34" s="77"/>
    </row>
    <row r="35" spans="1:28" ht="27.75" customHeight="1">
      <c r="F35" s="77"/>
      <c r="G35" s="77"/>
      <c r="H35" s="77"/>
      <c r="I35" s="77"/>
      <c r="K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</row>
    <row r="36" spans="1:28" ht="27.75" customHeight="1">
      <c r="A36" s="138"/>
      <c r="B36" s="77"/>
      <c r="C36" s="77"/>
      <c r="D36" s="77"/>
      <c r="E36" s="77"/>
      <c r="F36" s="77"/>
      <c r="G36" s="77"/>
      <c r="H36" s="77"/>
      <c r="I36" s="77"/>
    </row>
    <row r="37" spans="1:28" ht="27.75" customHeight="1">
      <c r="K37" s="121"/>
    </row>
  </sheetData>
  <mergeCells count="47">
    <mergeCell ref="AL5:AN5"/>
    <mergeCell ref="AC4:AN4"/>
    <mergeCell ref="AN6:AN7"/>
    <mergeCell ref="AL6:AL7"/>
    <mergeCell ref="AH6:AH7"/>
    <mergeCell ref="AF5:AH5"/>
    <mergeCell ref="AI5:AK5"/>
    <mergeCell ref="AI6:AJ6"/>
    <mergeCell ref="AK6:AK7"/>
    <mergeCell ref="AC6:AD6"/>
    <mergeCell ref="AC5:AE5"/>
    <mergeCell ref="AE6:AE7"/>
    <mergeCell ref="AM6:AM7"/>
    <mergeCell ref="AF6:AG6"/>
    <mergeCell ref="A4:A7"/>
    <mergeCell ref="T4:AB4"/>
    <mergeCell ref="T5:Y5"/>
    <mergeCell ref="Z5:AB6"/>
    <mergeCell ref="T6:X6"/>
    <mergeCell ref="Y6:Y7"/>
    <mergeCell ref="P6:P7"/>
    <mergeCell ref="B17:C17"/>
    <mergeCell ref="B18:C18"/>
    <mergeCell ref="T20:U20"/>
    <mergeCell ref="K4:S4"/>
    <mergeCell ref="B4:J4"/>
    <mergeCell ref="T18:U18"/>
    <mergeCell ref="T19:U19"/>
    <mergeCell ref="T17:W17"/>
    <mergeCell ref="V18:W18"/>
    <mergeCell ref="V19:W19"/>
    <mergeCell ref="Z27:AA28"/>
    <mergeCell ref="Z29:AA29"/>
    <mergeCell ref="A22:B22"/>
    <mergeCell ref="A25:B25"/>
    <mergeCell ref="A1:AB1"/>
    <mergeCell ref="A2:AB2"/>
    <mergeCell ref="Z25:AA26"/>
    <mergeCell ref="A21:C21"/>
    <mergeCell ref="J21:P21"/>
    <mergeCell ref="Q5:S6"/>
    <mergeCell ref="K6:O6"/>
    <mergeCell ref="B6:F6"/>
    <mergeCell ref="B5:G5"/>
    <mergeCell ref="G6:G7"/>
    <mergeCell ref="H5:J6"/>
    <mergeCell ref="K5:P5"/>
  </mergeCells>
  <phoneticPr fontId="2" type="noConversion"/>
  <pageMargins left="0.51" right="0" top="0" bottom="0" header="0.11811023622047245" footer="0.19685039370078741"/>
  <pageSetup paperSize="9" scale="75" orientation="landscape" r:id="rId1"/>
  <headerFooter alignWithMargins="0">
    <oddFooter>&amp;C&amp;8&amp;Z&amp;F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zoomScale="90" zoomScaleNormal="90" workbookViewId="0">
      <selection activeCell="N11" sqref="N11"/>
    </sheetView>
  </sheetViews>
  <sheetFormatPr defaultRowHeight="27.75" customHeight="1"/>
  <cols>
    <col min="1" max="1" width="24.28515625" style="25" customWidth="1"/>
    <col min="2" max="6" width="6.85546875" style="25" customWidth="1"/>
    <col min="7" max="7" width="9.28515625" style="25" customWidth="1"/>
    <col min="8" max="9" width="10.42578125" style="25" customWidth="1"/>
    <col min="10" max="12" width="8.5703125" style="25" customWidth="1"/>
    <col min="13" max="13" width="7.7109375" style="25" customWidth="1"/>
    <col min="14" max="14" width="11" style="25" customWidth="1"/>
    <col min="15" max="15" width="9.140625" style="25" customWidth="1"/>
    <col min="16" max="16" width="8.85546875" style="25" customWidth="1"/>
    <col min="17" max="17" width="9" style="25" hidden="1" customWidth="1"/>
    <col min="18" max="18" width="8" style="25" hidden="1" customWidth="1"/>
    <col min="19" max="19" width="12.85546875" style="25" hidden="1" customWidth="1"/>
    <col min="20" max="20" width="9" style="25" hidden="1" customWidth="1"/>
    <col min="21" max="21" width="12.28515625" style="25" customWidth="1"/>
    <col min="22" max="22" width="9.140625" style="25" customWidth="1"/>
    <col min="23" max="16384" width="9.140625" style="25"/>
  </cols>
  <sheetData>
    <row r="1" spans="1:22" s="55" customFormat="1" ht="21.75" customHeight="1">
      <c r="A1" s="477" t="str">
        <f>'(PC-RC1)_อบรมผู้ตรวจสอบกิจการ'!A1:AB1</f>
        <v>รายละเอียดแผนการปฏิบัติงานและความก้าวหน้าผลการปฏิบัติงาน ณ วันที่  31  มกราคม 2559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spans="1:22" s="55" customFormat="1" ht="21.75" customHeight="1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</row>
    <row r="3" spans="1:22" s="55" customFormat="1" ht="27.75" customHeight="1">
      <c r="A3" s="520" t="s">
        <v>151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R3" s="115"/>
      <c r="S3" s="115"/>
    </row>
    <row r="4" spans="1:22" s="55" customFormat="1" ht="14.25" customHeight="1">
      <c r="A4" s="144"/>
      <c r="R4" s="115"/>
      <c r="S4" s="115"/>
    </row>
    <row r="5" spans="1:22" s="55" customFormat="1" ht="27.75" customHeight="1">
      <c r="A5" s="502" t="s">
        <v>8</v>
      </c>
      <c r="B5" s="499" t="s">
        <v>79</v>
      </c>
      <c r="C5" s="497"/>
      <c r="D5" s="497"/>
      <c r="E5" s="497"/>
      <c r="F5" s="497"/>
      <c r="G5" s="497"/>
      <c r="H5" s="497"/>
      <c r="I5" s="497"/>
      <c r="J5" s="499" t="s">
        <v>80</v>
      </c>
      <c r="K5" s="497"/>
      <c r="L5" s="497"/>
      <c r="M5" s="497"/>
      <c r="N5" s="497"/>
      <c r="O5" s="497"/>
      <c r="P5" s="504"/>
      <c r="Q5" s="530" t="s">
        <v>63</v>
      </c>
      <c r="R5" s="530"/>
      <c r="S5" s="530"/>
      <c r="T5" s="531"/>
      <c r="V5" s="182"/>
    </row>
    <row r="6" spans="1:22" s="55" customFormat="1" ht="27.75" customHeight="1">
      <c r="A6" s="503"/>
      <c r="B6" s="489" t="s">
        <v>11</v>
      </c>
      <c r="C6" s="490"/>
      <c r="D6" s="490"/>
      <c r="E6" s="490"/>
      <c r="F6" s="490"/>
      <c r="G6" s="491"/>
      <c r="H6" s="543" t="s">
        <v>14</v>
      </c>
      <c r="I6" s="544"/>
      <c r="J6" s="534" t="s">
        <v>11</v>
      </c>
      <c r="K6" s="535"/>
      <c r="L6" s="535"/>
      <c r="M6" s="507"/>
      <c r="N6" s="543" t="s">
        <v>14</v>
      </c>
      <c r="O6" s="544"/>
      <c r="P6" s="545"/>
      <c r="Q6" s="532"/>
      <c r="R6" s="532"/>
      <c r="S6" s="532"/>
      <c r="T6" s="533"/>
      <c r="V6" s="182"/>
    </row>
    <row r="7" spans="1:22" s="55" customFormat="1" ht="27.75" customHeight="1">
      <c r="A7" s="503"/>
      <c r="B7" s="536" t="s">
        <v>1</v>
      </c>
      <c r="C7" s="536"/>
      <c r="D7" s="536"/>
      <c r="E7" s="536"/>
      <c r="F7" s="536"/>
      <c r="G7" s="537" t="s">
        <v>19</v>
      </c>
      <c r="H7" s="547" t="s">
        <v>10</v>
      </c>
      <c r="I7" s="549" t="s">
        <v>17</v>
      </c>
      <c r="J7" s="536" t="s">
        <v>1</v>
      </c>
      <c r="K7" s="536"/>
      <c r="L7" s="536"/>
      <c r="M7" s="537" t="s">
        <v>19</v>
      </c>
      <c r="N7" s="538" t="s">
        <v>10</v>
      </c>
      <c r="O7" s="539" t="s">
        <v>17</v>
      </c>
      <c r="P7" s="546" t="s">
        <v>15</v>
      </c>
      <c r="Q7" s="527" t="s">
        <v>3</v>
      </c>
      <c r="R7" s="528"/>
      <c r="S7" s="528" t="s">
        <v>44</v>
      </c>
      <c r="T7" s="525" t="s">
        <v>17</v>
      </c>
      <c r="V7" s="182"/>
    </row>
    <row r="8" spans="1:22" s="55" customFormat="1" ht="27.75" customHeight="1">
      <c r="A8" s="542"/>
      <c r="B8" s="116">
        <v>1</v>
      </c>
      <c r="C8" s="116">
        <v>2</v>
      </c>
      <c r="D8" s="116">
        <v>3</v>
      </c>
      <c r="E8" s="116">
        <v>4</v>
      </c>
      <c r="F8" s="116" t="s">
        <v>2</v>
      </c>
      <c r="G8" s="493"/>
      <c r="H8" s="548"/>
      <c r="I8" s="550"/>
      <c r="J8" s="257">
        <v>1</v>
      </c>
      <c r="K8" s="257">
        <v>2</v>
      </c>
      <c r="L8" s="257" t="s">
        <v>2</v>
      </c>
      <c r="M8" s="493"/>
      <c r="N8" s="538"/>
      <c r="O8" s="539"/>
      <c r="P8" s="546"/>
      <c r="Q8" s="438" t="s">
        <v>24</v>
      </c>
      <c r="R8" s="143" t="s">
        <v>12</v>
      </c>
      <c r="S8" s="529"/>
      <c r="T8" s="526"/>
      <c r="V8" s="182"/>
    </row>
    <row r="9" spans="1:22" s="55" customFormat="1" ht="23.25" customHeight="1">
      <c r="A9" s="146" t="s">
        <v>5</v>
      </c>
      <c r="B9" s="7">
        <f>3+4+17</f>
        <v>24</v>
      </c>
      <c r="C9" s="7">
        <f>6+10+8</f>
        <v>24</v>
      </c>
      <c r="D9" s="7">
        <f>2+11+11</f>
        <v>24</v>
      </c>
      <c r="E9" s="7">
        <f>7+17+0</f>
        <v>24</v>
      </c>
      <c r="F9" s="7">
        <f>SUM(B9:E9)</f>
        <v>96</v>
      </c>
      <c r="G9" s="7">
        <f>B9</f>
        <v>24</v>
      </c>
      <c r="H9" s="62">
        <v>24</v>
      </c>
      <c r="I9" s="63">
        <f>H9*100/G9</f>
        <v>100</v>
      </c>
      <c r="J9" s="7">
        <f>0+0+24</f>
        <v>24</v>
      </c>
      <c r="K9" s="7"/>
      <c r="L9" s="7">
        <f>SUM(J9:K9)</f>
        <v>24</v>
      </c>
      <c r="M9" s="7">
        <f>J9</f>
        <v>24</v>
      </c>
      <c r="N9" s="267">
        <v>24</v>
      </c>
      <c r="O9" s="437">
        <f>N9*100/M9</f>
        <v>100</v>
      </c>
      <c r="P9" s="268">
        <v>48</v>
      </c>
      <c r="Q9" s="94"/>
      <c r="R9" s="7"/>
      <c r="S9" s="95"/>
      <c r="T9" s="106"/>
    </row>
    <row r="10" spans="1:22" s="55" customFormat="1" ht="23.25" customHeight="1">
      <c r="A10" s="147" t="s">
        <v>6</v>
      </c>
      <c r="B10" s="11">
        <f>0+0+10</f>
        <v>10</v>
      </c>
      <c r="C10" s="11">
        <f>0+0+10</f>
        <v>10</v>
      </c>
      <c r="D10" s="11">
        <f>0+0+10</f>
        <v>10</v>
      </c>
      <c r="E10" s="11">
        <f>0+0+10</f>
        <v>10</v>
      </c>
      <c r="F10" s="11">
        <f>SUM(B10:E10)</f>
        <v>40</v>
      </c>
      <c r="G10" s="11">
        <f>B10</f>
        <v>10</v>
      </c>
      <c r="H10" s="64">
        <v>10</v>
      </c>
      <c r="I10" s="65">
        <f>H10*100/G10</f>
        <v>100</v>
      </c>
      <c r="J10" s="11">
        <f>0+0+10</f>
        <v>10</v>
      </c>
      <c r="K10" s="11"/>
      <c r="L10" s="11">
        <f>SUM(J10:K10)</f>
        <v>10</v>
      </c>
      <c r="M10" s="11">
        <f>J10</f>
        <v>10</v>
      </c>
      <c r="N10" s="64">
        <v>10</v>
      </c>
      <c r="O10" s="65">
        <f>N10*100/M10</f>
        <v>100</v>
      </c>
      <c r="P10" s="1">
        <v>20</v>
      </c>
      <c r="Q10" s="59"/>
      <c r="R10" s="11"/>
      <c r="S10" s="20"/>
      <c r="T10" s="107"/>
    </row>
    <row r="11" spans="1:22" s="55" customFormat="1" ht="23.25" customHeight="1">
      <c r="A11" s="154" t="s">
        <v>54</v>
      </c>
      <c r="B11" s="155">
        <f>0+0+16</f>
        <v>16</v>
      </c>
      <c r="C11" s="155">
        <f>2+4+10</f>
        <v>16</v>
      </c>
      <c r="D11" s="155">
        <f>2+6+8</f>
        <v>16</v>
      </c>
      <c r="E11" s="155">
        <f>4+3+9</f>
        <v>16</v>
      </c>
      <c r="F11" s="11">
        <f>SUM(B11:E11)</f>
        <v>64</v>
      </c>
      <c r="G11" s="155">
        <f>B11</f>
        <v>16</v>
      </c>
      <c r="H11" s="439">
        <v>16</v>
      </c>
      <c r="I11" s="65">
        <f>H11*100/G11</f>
        <v>100</v>
      </c>
      <c r="J11" s="155">
        <f>0+0+16</f>
        <v>16</v>
      </c>
      <c r="K11" s="155"/>
      <c r="L11" s="11">
        <f>SUM(J11:K11)</f>
        <v>16</v>
      </c>
      <c r="M11" s="11">
        <f>J11</f>
        <v>16</v>
      </c>
      <c r="N11" s="439">
        <v>16</v>
      </c>
      <c r="O11" s="65">
        <f>N11*100/M11</f>
        <v>100</v>
      </c>
      <c r="P11" s="436">
        <v>32</v>
      </c>
      <c r="Q11" s="156"/>
      <c r="R11" s="155"/>
      <c r="S11" s="157"/>
      <c r="T11" s="107"/>
    </row>
    <row r="12" spans="1:22" s="55" customFormat="1" ht="23.25" customHeight="1">
      <c r="A12" s="148" t="s">
        <v>7</v>
      </c>
      <c r="B12" s="14">
        <f>0+5+12</f>
        <v>17</v>
      </c>
      <c r="C12" s="14">
        <f>8+7+2</f>
        <v>17</v>
      </c>
      <c r="D12" s="14">
        <f>2+9+6</f>
        <v>17</v>
      </c>
      <c r="E12" s="14">
        <f>5+10+2</f>
        <v>17</v>
      </c>
      <c r="F12" s="14">
        <f>SUM(B12:E12)</f>
        <v>68</v>
      </c>
      <c r="G12" s="14">
        <f>B12</f>
        <v>17</v>
      </c>
      <c r="H12" s="66">
        <v>17</v>
      </c>
      <c r="I12" s="67">
        <f>H12*100/G12</f>
        <v>100</v>
      </c>
      <c r="J12" s="14">
        <f>0+0+17</f>
        <v>17</v>
      </c>
      <c r="K12" s="14"/>
      <c r="L12" s="14">
        <f>SUM(J12:K12)</f>
        <v>17</v>
      </c>
      <c r="M12" s="96">
        <f>J12</f>
        <v>17</v>
      </c>
      <c r="N12" s="66">
        <v>17</v>
      </c>
      <c r="O12" s="67">
        <f>N12*100/M12</f>
        <v>100</v>
      </c>
      <c r="P12" s="170">
        <v>34</v>
      </c>
      <c r="Q12" s="60"/>
      <c r="R12" s="14"/>
      <c r="S12" s="35"/>
      <c r="T12" s="108"/>
    </row>
    <row r="13" spans="1:22" s="55" customFormat="1" ht="23.25" customHeight="1">
      <c r="A13" s="149" t="s">
        <v>4</v>
      </c>
      <c r="B13" s="34">
        <f>SUM(B9:B12)</f>
        <v>67</v>
      </c>
      <c r="C13" s="34">
        <f>SUM(C9:C12)</f>
        <v>67</v>
      </c>
      <c r="D13" s="34">
        <f t="shared" ref="D13:E13" si="0">SUM(D9:D12)</f>
        <v>67</v>
      </c>
      <c r="E13" s="34">
        <f t="shared" si="0"/>
        <v>67</v>
      </c>
      <c r="F13" s="32">
        <f>SUM(F9:F12)</f>
        <v>268</v>
      </c>
      <c r="G13" s="19">
        <f>SUM(G9:G12)</f>
        <v>67</v>
      </c>
      <c r="H13" s="31">
        <f>SUM(H9:H12)</f>
        <v>67</v>
      </c>
      <c r="I13" s="68">
        <f>H13*100/G13</f>
        <v>100</v>
      </c>
      <c r="J13" s="32">
        <f>SUM(J9:J12)</f>
        <v>67</v>
      </c>
      <c r="K13" s="34"/>
      <c r="L13" s="32">
        <f>SUM(L9:L12)</f>
        <v>67</v>
      </c>
      <c r="M13" s="19">
        <f>SUM(M9:M12)</f>
        <v>67</v>
      </c>
      <c r="N13" s="31">
        <f>SUM(N9:N12)</f>
        <v>67</v>
      </c>
      <c r="O13" s="68">
        <f>N13*100/M13</f>
        <v>100</v>
      </c>
      <c r="P13" s="31">
        <f>SUM(P9:P12)</f>
        <v>134</v>
      </c>
      <c r="Q13" s="36"/>
      <c r="R13" s="185"/>
      <c r="S13" s="57"/>
      <c r="T13" s="239"/>
    </row>
    <row r="14" spans="1:22" s="55" customFormat="1" ht="27.75" customHeight="1">
      <c r="A14" s="150"/>
      <c r="B14" s="151"/>
      <c r="C14" s="77"/>
      <c r="D14" s="77"/>
      <c r="E14" s="152"/>
      <c r="R14" s="184"/>
      <c r="S14" s="184"/>
    </row>
    <row r="15" spans="1:22" s="55" customFormat="1" ht="18" customHeight="1">
      <c r="A15" s="150"/>
      <c r="B15" s="294"/>
      <c r="C15" s="171"/>
      <c r="D15" s="77"/>
      <c r="E15" s="152"/>
      <c r="J15" s="433"/>
      <c r="R15" s="153"/>
    </row>
    <row r="16" spans="1:22" ht="18.75" customHeight="1" thickBot="1"/>
    <row r="17" spans="1:23" ht="18.75" customHeight="1">
      <c r="A17" s="540" t="s">
        <v>28</v>
      </c>
      <c r="B17" s="541"/>
      <c r="C17" s="541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84"/>
      <c r="Q17" s="454"/>
      <c r="R17" s="85"/>
      <c r="S17" s="85"/>
      <c r="T17" s="85"/>
      <c r="U17" s="49"/>
      <c r="V17" s="49"/>
      <c r="W17" s="49"/>
    </row>
    <row r="18" spans="1:23" ht="15.75" customHeight="1">
      <c r="A18" s="337" t="s">
        <v>8</v>
      </c>
      <c r="B18" s="283" t="s">
        <v>81</v>
      </c>
      <c r="C18" s="49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303" t="s">
        <v>89</v>
      </c>
      <c r="P18" s="72"/>
      <c r="Q18" s="455"/>
      <c r="R18" s="49"/>
      <c r="S18" s="49"/>
      <c r="T18" s="49"/>
      <c r="U18" s="49"/>
      <c r="V18" s="49"/>
      <c r="W18" s="49"/>
    </row>
    <row r="19" spans="1:23" ht="15.75" customHeight="1">
      <c r="A19" s="338"/>
      <c r="B19" s="283" t="s">
        <v>82</v>
      </c>
      <c r="C19" s="49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303" t="s">
        <v>90</v>
      </c>
      <c r="P19" s="72"/>
      <c r="Q19" s="455"/>
      <c r="R19" s="49"/>
      <c r="S19" s="49"/>
      <c r="T19" s="49"/>
      <c r="U19" s="49"/>
      <c r="V19" s="49"/>
      <c r="W19" s="49"/>
    </row>
    <row r="20" spans="1:23" ht="15.75" customHeight="1">
      <c r="A20" s="338"/>
      <c r="B20" s="283" t="s">
        <v>83</v>
      </c>
      <c r="C20" s="49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303" t="s">
        <v>52</v>
      </c>
      <c r="P20" s="72"/>
      <c r="Q20" s="455"/>
      <c r="R20" s="49"/>
      <c r="S20" s="49"/>
      <c r="T20" s="49"/>
      <c r="U20" s="49"/>
      <c r="V20" s="49"/>
      <c r="W20" s="49"/>
    </row>
    <row r="21" spans="1:23" ht="15.75" customHeight="1">
      <c r="A21" s="338"/>
      <c r="B21" s="283"/>
      <c r="C21" s="49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303"/>
      <c r="P21" s="72"/>
      <c r="Q21" s="455"/>
      <c r="R21" s="49"/>
      <c r="S21" s="49"/>
      <c r="T21" s="49"/>
      <c r="U21" s="49"/>
      <c r="V21" s="49"/>
      <c r="W21" s="49"/>
    </row>
    <row r="22" spans="1:23" ht="15.75" customHeight="1">
      <c r="A22" s="337" t="s">
        <v>23</v>
      </c>
      <c r="B22" s="283" t="s">
        <v>84</v>
      </c>
      <c r="C22" s="49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303" t="s">
        <v>90</v>
      </c>
      <c r="P22" s="72"/>
      <c r="Q22" s="455"/>
      <c r="R22" s="49"/>
      <c r="S22" s="49"/>
      <c r="T22" s="49"/>
      <c r="U22" s="49"/>
      <c r="V22" s="49"/>
      <c r="W22" s="49"/>
    </row>
    <row r="23" spans="1:23" ht="15.75" customHeight="1">
      <c r="A23" s="338"/>
      <c r="B23" s="283" t="s">
        <v>85</v>
      </c>
      <c r="C23" s="49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303"/>
      <c r="P23" s="72"/>
      <c r="Q23" s="455"/>
      <c r="R23" s="49"/>
      <c r="S23" s="49"/>
      <c r="T23" s="49"/>
      <c r="U23" s="49"/>
      <c r="V23" s="49"/>
      <c r="W23" s="49"/>
    </row>
    <row r="24" spans="1:23" ht="15.75" customHeight="1">
      <c r="A24" s="338"/>
      <c r="B24" s="331" t="s">
        <v>86</v>
      </c>
      <c r="C24" s="332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521" t="s">
        <v>51</v>
      </c>
      <c r="P24" s="522"/>
      <c r="Q24" s="456"/>
      <c r="R24" s="49"/>
      <c r="S24" s="49"/>
      <c r="T24" s="49"/>
      <c r="U24" s="49"/>
      <c r="V24" s="49"/>
      <c r="W24" s="49"/>
    </row>
    <row r="25" spans="1:23" ht="15.75" customHeight="1">
      <c r="A25" s="338"/>
      <c r="B25" s="334" t="s">
        <v>87</v>
      </c>
      <c r="C25" s="335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523"/>
      <c r="P25" s="524"/>
      <c r="Q25" s="456"/>
      <c r="R25" s="49"/>
      <c r="S25" s="49"/>
      <c r="T25" s="49"/>
      <c r="U25" s="49"/>
      <c r="V25" s="49"/>
      <c r="W25" s="49"/>
    </row>
    <row r="26" spans="1:23" ht="15.75" customHeight="1">
      <c r="A26" s="338"/>
      <c r="B26" s="283" t="s">
        <v>88</v>
      </c>
      <c r="C26" s="49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304" t="s">
        <v>53</v>
      </c>
      <c r="P26" s="305"/>
      <c r="Q26" s="457"/>
      <c r="R26" s="49"/>
      <c r="S26" s="49"/>
      <c r="T26" s="49"/>
      <c r="U26" s="49"/>
      <c r="V26" s="49"/>
      <c r="W26" s="49"/>
    </row>
    <row r="27" spans="1:23" ht="9.75" customHeight="1" thickBot="1">
      <c r="A27" s="297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73"/>
      <c r="Q27" s="455"/>
      <c r="R27" s="49"/>
      <c r="S27" s="49"/>
      <c r="T27" s="49"/>
      <c r="U27" s="49"/>
      <c r="V27" s="49"/>
      <c r="W27" s="49"/>
    </row>
  </sheetData>
  <mergeCells count="25">
    <mergeCell ref="N6:P6"/>
    <mergeCell ref="P7:P8"/>
    <mergeCell ref="B7:F7"/>
    <mergeCell ref="H6:I6"/>
    <mergeCell ref="B5:I5"/>
    <mergeCell ref="B6:G6"/>
    <mergeCell ref="G7:G8"/>
    <mergeCell ref="H7:H8"/>
    <mergeCell ref="I7:I8"/>
    <mergeCell ref="A1:P1"/>
    <mergeCell ref="A2:P2"/>
    <mergeCell ref="A3:P3"/>
    <mergeCell ref="O24:P25"/>
    <mergeCell ref="T7:T8"/>
    <mergeCell ref="Q7:R7"/>
    <mergeCell ref="S7:S8"/>
    <mergeCell ref="Q5:T6"/>
    <mergeCell ref="J6:M6"/>
    <mergeCell ref="J7:L7"/>
    <mergeCell ref="M7:M8"/>
    <mergeCell ref="N7:N8"/>
    <mergeCell ref="O7:O8"/>
    <mergeCell ref="A17:C17"/>
    <mergeCell ref="A5:A8"/>
    <mergeCell ref="J5:P5"/>
  </mergeCells>
  <phoneticPr fontId="2" type="noConversion"/>
  <pageMargins left="0.49" right="0" top="0.15748031496062992" bottom="0" header="0.31496062992125984" footer="0.19685039370078741"/>
  <pageSetup paperSize="9" scale="90" orientation="landscape" r:id="rId1"/>
  <headerFooter alignWithMargins="0">
    <oddFooter>&amp;C&amp;8&amp;Z&amp;F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P35"/>
  <sheetViews>
    <sheetView zoomScale="90" zoomScaleNormal="90" workbookViewId="0">
      <selection activeCell="AC33" sqref="AC33"/>
    </sheetView>
  </sheetViews>
  <sheetFormatPr defaultRowHeight="27.75" customHeight="1"/>
  <cols>
    <col min="1" max="1" width="9.42578125" style="25" customWidth="1"/>
    <col min="2" max="2" width="6.140625" style="25" hidden="1" customWidth="1"/>
    <col min="3" max="4" width="5.85546875" style="25" hidden="1" customWidth="1"/>
    <col min="5" max="8" width="4.85546875" style="25" customWidth="1"/>
    <col min="9" max="9" width="8.42578125" style="25" customWidth="1"/>
    <col min="10" max="10" width="4.85546875" style="25" customWidth="1"/>
    <col min="11" max="11" width="4.42578125" style="25" customWidth="1"/>
    <col min="12" max="12" width="4.85546875" style="25" customWidth="1"/>
    <col min="13" max="13" width="6.7109375" style="25" customWidth="1"/>
    <col min="14" max="14" width="4.85546875" style="25" customWidth="1"/>
    <col min="15" max="15" width="6.140625" style="25" customWidth="1"/>
    <col min="16" max="17" width="4.85546875" style="25" customWidth="1"/>
    <col min="18" max="18" width="5.28515625" style="25" customWidth="1"/>
    <col min="19" max="19" width="6.28515625" style="25" customWidth="1"/>
    <col min="20" max="20" width="6" style="25" customWidth="1"/>
    <col min="21" max="21" width="5.42578125" style="25" customWidth="1"/>
    <col min="22" max="22" width="7.5703125" style="25" customWidth="1"/>
    <col min="23" max="23" width="5.5703125" style="25" customWidth="1"/>
    <col min="24" max="27" width="4.5703125" style="25" customWidth="1"/>
    <col min="28" max="28" width="5.28515625" style="25" customWidth="1"/>
    <col min="29" max="29" width="6.85546875" style="25" customWidth="1"/>
    <col min="30" max="30" width="4.85546875" style="25" customWidth="1"/>
    <col min="31" max="31" width="6.42578125" style="25" customWidth="1"/>
    <col min="32" max="32" width="8.140625" style="25" customWidth="1"/>
    <col min="33" max="33" width="8.85546875" style="25" hidden="1" customWidth="1"/>
    <col min="34" max="34" width="7.28515625" style="25" hidden="1" customWidth="1"/>
    <col min="35" max="35" width="7" style="25" hidden="1" customWidth="1"/>
    <col min="36" max="36" width="9.42578125" style="25" hidden="1" customWidth="1"/>
    <col min="37" max="37" width="8.28515625" style="25" hidden="1" customWidth="1"/>
    <col min="38" max="38" width="9.5703125" style="25" hidden="1" customWidth="1"/>
    <col min="39" max="39" width="10.85546875" style="25" hidden="1" customWidth="1"/>
    <col min="40" max="41" width="8.140625" style="25" hidden="1" customWidth="1"/>
    <col min="42" max="16384" width="9.140625" style="25"/>
  </cols>
  <sheetData>
    <row r="1" spans="1:42" s="55" customFormat="1" ht="22.5" customHeight="1">
      <c r="A1" s="477" t="str">
        <f>'(PC-RC1)_อบรมผู้ตรวจสอบกิจการ'!A1:AB1</f>
        <v>รายละเอียดแผนการปฏิบัติงานและความก้าวหน้าผลการปฏิบัติงาน ณ วันที่  31  มกราคม 2559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</row>
    <row r="2" spans="1:42" s="55" customFormat="1" ht="22.5" customHeight="1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</row>
    <row r="3" spans="1:42" s="55" customFormat="1" ht="21" customHeight="1">
      <c r="A3" s="124" t="s">
        <v>91</v>
      </c>
      <c r="B3" s="124"/>
      <c r="C3" s="124"/>
      <c r="D3" s="124"/>
      <c r="AF3" s="115"/>
      <c r="AG3" s="80"/>
      <c r="AH3" s="80"/>
      <c r="AI3" s="80"/>
      <c r="AJ3" s="80"/>
      <c r="AK3" s="80"/>
      <c r="AL3" s="80"/>
      <c r="AM3" s="80"/>
      <c r="AN3" s="80"/>
      <c r="AO3" s="80"/>
    </row>
    <row r="4" spans="1:42" s="55" customFormat="1" ht="37.5" customHeight="1">
      <c r="A4" s="502" t="s">
        <v>8</v>
      </c>
      <c r="B4" s="582" t="s">
        <v>50</v>
      </c>
      <c r="C4" s="583"/>
      <c r="D4" s="584"/>
      <c r="E4" s="558" t="s">
        <v>92</v>
      </c>
      <c r="F4" s="559"/>
      <c r="G4" s="559"/>
      <c r="H4" s="559"/>
      <c r="I4" s="560"/>
      <c r="J4" s="499" t="s">
        <v>57</v>
      </c>
      <c r="K4" s="497"/>
      <c r="L4" s="497"/>
      <c r="M4" s="497"/>
      <c r="N4" s="497"/>
      <c r="O4" s="497"/>
      <c r="P4" s="504"/>
      <c r="Q4" s="558" t="s">
        <v>96</v>
      </c>
      <c r="R4" s="559"/>
      <c r="S4" s="559"/>
      <c r="T4" s="559"/>
      <c r="U4" s="559"/>
      <c r="V4" s="559"/>
      <c r="W4" s="560"/>
      <c r="X4" s="499" t="s">
        <v>27</v>
      </c>
      <c r="Y4" s="497"/>
      <c r="Z4" s="497"/>
      <c r="AA4" s="497"/>
      <c r="AB4" s="497"/>
      <c r="AC4" s="497"/>
      <c r="AD4" s="497"/>
      <c r="AE4" s="497"/>
      <c r="AF4" s="504"/>
      <c r="AG4" s="565" t="s">
        <v>29</v>
      </c>
      <c r="AH4" s="566"/>
      <c r="AI4" s="566"/>
      <c r="AJ4" s="566"/>
      <c r="AK4" s="566"/>
      <c r="AL4" s="566"/>
      <c r="AM4" s="576" t="s">
        <v>48</v>
      </c>
      <c r="AN4" s="577"/>
      <c r="AO4" s="578"/>
    </row>
    <row r="5" spans="1:42" s="55" customFormat="1" ht="21.75" customHeight="1">
      <c r="A5" s="503"/>
      <c r="B5" s="585"/>
      <c r="C5" s="586"/>
      <c r="D5" s="587"/>
      <c r="E5" s="489" t="s">
        <v>62</v>
      </c>
      <c r="F5" s="490"/>
      <c r="G5" s="490"/>
      <c r="H5" s="491"/>
      <c r="I5" s="561" t="s">
        <v>14</v>
      </c>
      <c r="J5" s="489" t="s">
        <v>11</v>
      </c>
      <c r="K5" s="490"/>
      <c r="L5" s="490"/>
      <c r="M5" s="491"/>
      <c r="N5" s="481" t="s">
        <v>14</v>
      </c>
      <c r="O5" s="482"/>
      <c r="P5" s="505"/>
      <c r="Q5" s="489" t="s">
        <v>11</v>
      </c>
      <c r="R5" s="490"/>
      <c r="S5" s="490"/>
      <c r="T5" s="491"/>
      <c r="U5" s="481" t="s">
        <v>14</v>
      </c>
      <c r="V5" s="482"/>
      <c r="W5" s="505"/>
      <c r="X5" s="489" t="s">
        <v>13</v>
      </c>
      <c r="Y5" s="490"/>
      <c r="Z5" s="490"/>
      <c r="AA5" s="490"/>
      <c r="AB5" s="490"/>
      <c r="AC5" s="491"/>
      <c r="AD5" s="481" t="s">
        <v>14</v>
      </c>
      <c r="AE5" s="482"/>
      <c r="AF5" s="505"/>
      <c r="AG5" s="573" t="s">
        <v>3</v>
      </c>
      <c r="AH5" s="573"/>
      <c r="AI5" s="567" t="s">
        <v>14</v>
      </c>
      <c r="AJ5" s="568"/>
      <c r="AK5" s="568"/>
      <c r="AL5" s="568"/>
      <c r="AM5" s="579"/>
      <c r="AN5" s="580"/>
      <c r="AO5" s="581"/>
    </row>
    <row r="6" spans="1:42" s="55" customFormat="1" ht="24.75" customHeight="1">
      <c r="A6" s="503"/>
      <c r="B6" s="588" t="s">
        <v>38</v>
      </c>
      <c r="C6" s="588" t="s">
        <v>39</v>
      </c>
      <c r="D6" s="588" t="s">
        <v>40</v>
      </c>
      <c r="E6" s="536" t="s">
        <v>51</v>
      </c>
      <c r="F6" s="536"/>
      <c r="G6" s="536"/>
      <c r="H6" s="536"/>
      <c r="I6" s="562"/>
      <c r="J6" s="536" t="s">
        <v>1</v>
      </c>
      <c r="K6" s="536"/>
      <c r="L6" s="536"/>
      <c r="M6" s="537" t="s">
        <v>19</v>
      </c>
      <c r="N6" s="484"/>
      <c r="O6" s="485"/>
      <c r="P6" s="506"/>
      <c r="Q6" s="536" t="s">
        <v>1</v>
      </c>
      <c r="R6" s="536"/>
      <c r="S6" s="536"/>
      <c r="T6" s="537" t="s">
        <v>19</v>
      </c>
      <c r="U6" s="484"/>
      <c r="V6" s="485"/>
      <c r="W6" s="506"/>
      <c r="X6" s="536" t="s">
        <v>1</v>
      </c>
      <c r="Y6" s="536"/>
      <c r="Z6" s="536"/>
      <c r="AA6" s="536"/>
      <c r="AB6" s="536"/>
      <c r="AC6" s="537" t="s">
        <v>19</v>
      </c>
      <c r="AD6" s="484"/>
      <c r="AE6" s="485"/>
      <c r="AF6" s="506"/>
      <c r="AG6" s="573"/>
      <c r="AH6" s="573"/>
      <c r="AI6" s="518" t="s">
        <v>43</v>
      </c>
      <c r="AJ6" s="518" t="s">
        <v>45</v>
      </c>
      <c r="AK6" s="571" t="s">
        <v>66</v>
      </c>
      <c r="AL6" s="572"/>
      <c r="AM6" s="569" t="s">
        <v>56</v>
      </c>
      <c r="AN6" s="574" t="s">
        <v>47</v>
      </c>
      <c r="AO6" s="574" t="s">
        <v>17</v>
      </c>
    </row>
    <row r="7" spans="1:42" s="55" customFormat="1" ht="30" customHeight="1">
      <c r="A7" s="542"/>
      <c r="B7" s="589"/>
      <c r="C7" s="589"/>
      <c r="D7" s="589"/>
      <c r="E7" s="257" t="s">
        <v>93</v>
      </c>
      <c r="F7" s="257" t="s">
        <v>94</v>
      </c>
      <c r="G7" s="257" t="s">
        <v>95</v>
      </c>
      <c r="H7" s="257" t="s">
        <v>2</v>
      </c>
      <c r="I7" s="563"/>
      <c r="J7" s="173">
        <v>1</v>
      </c>
      <c r="K7" s="173">
        <v>2</v>
      </c>
      <c r="L7" s="173" t="s">
        <v>2</v>
      </c>
      <c r="M7" s="493"/>
      <c r="N7" s="174" t="s">
        <v>9</v>
      </c>
      <c r="O7" s="174" t="s">
        <v>17</v>
      </c>
      <c r="P7" s="174" t="s">
        <v>15</v>
      </c>
      <c r="Q7" s="145">
        <v>1</v>
      </c>
      <c r="R7" s="145">
        <v>2</v>
      </c>
      <c r="S7" s="145" t="s">
        <v>2</v>
      </c>
      <c r="T7" s="493"/>
      <c r="U7" s="158" t="s">
        <v>9</v>
      </c>
      <c r="V7" s="158" t="s">
        <v>17</v>
      </c>
      <c r="W7" s="432" t="s">
        <v>15</v>
      </c>
      <c r="X7" s="430">
        <v>1</v>
      </c>
      <c r="Y7" s="430">
        <v>2</v>
      </c>
      <c r="Z7" s="430">
        <v>3</v>
      </c>
      <c r="AA7" s="430">
        <v>4</v>
      </c>
      <c r="AB7" s="430" t="s">
        <v>2</v>
      </c>
      <c r="AC7" s="493"/>
      <c r="AD7" s="432" t="s">
        <v>9</v>
      </c>
      <c r="AE7" s="432" t="s">
        <v>22</v>
      </c>
      <c r="AF7" s="432" t="s">
        <v>17</v>
      </c>
      <c r="AG7" s="168" t="s">
        <v>24</v>
      </c>
      <c r="AH7" s="168" t="s">
        <v>12</v>
      </c>
      <c r="AI7" s="518"/>
      <c r="AJ7" s="518"/>
      <c r="AK7" s="228" t="s">
        <v>21</v>
      </c>
      <c r="AL7" s="228" t="s">
        <v>46</v>
      </c>
      <c r="AM7" s="570"/>
      <c r="AN7" s="575"/>
      <c r="AO7" s="575"/>
    </row>
    <row r="8" spans="1:42" s="55" customFormat="1" ht="22.5" customHeight="1">
      <c r="A8" s="146" t="s">
        <v>5</v>
      </c>
      <c r="B8" s="54"/>
      <c r="C8" s="54"/>
      <c r="D8" s="54"/>
      <c r="E8" s="10"/>
      <c r="F8" s="10">
        <v>1</v>
      </c>
      <c r="G8" s="10"/>
      <c r="H8" s="10">
        <f>SUM(E8:G8)</f>
        <v>1</v>
      </c>
      <c r="I8" s="440">
        <v>1</v>
      </c>
      <c r="J8" s="7">
        <f>0+8+0</f>
        <v>8</v>
      </c>
      <c r="K8" s="7"/>
      <c r="L8" s="7">
        <f>SUM(J8:K8)</f>
        <v>8</v>
      </c>
      <c r="M8" s="7">
        <f>J8</f>
        <v>8</v>
      </c>
      <c r="N8" s="440">
        <v>8</v>
      </c>
      <c r="O8" s="10">
        <f>N8*100/M8</f>
        <v>100</v>
      </c>
      <c r="P8" s="10">
        <v>32</v>
      </c>
      <c r="Q8" s="7">
        <f>0+8+0</f>
        <v>8</v>
      </c>
      <c r="R8" s="7"/>
      <c r="S8" s="7">
        <f>SUM(Q8:R8)</f>
        <v>8</v>
      </c>
      <c r="T8" s="15">
        <f>Q8</f>
        <v>8</v>
      </c>
      <c r="U8" s="440">
        <v>8</v>
      </c>
      <c r="V8" s="10">
        <f>U8*100/T8</f>
        <v>100</v>
      </c>
      <c r="W8" s="10">
        <v>8</v>
      </c>
      <c r="X8" s="7">
        <f t="shared" ref="X8:AA9" si="0">8+8+8</f>
        <v>24</v>
      </c>
      <c r="Y8" s="7">
        <f t="shared" si="0"/>
        <v>24</v>
      </c>
      <c r="Z8" s="7">
        <f t="shared" si="0"/>
        <v>24</v>
      </c>
      <c r="AA8" s="7">
        <f t="shared" si="0"/>
        <v>24</v>
      </c>
      <c r="AB8" s="7">
        <f>SUM(X8:AA8)</f>
        <v>96</v>
      </c>
      <c r="AC8" s="15">
        <f>X8+8</f>
        <v>32</v>
      </c>
      <c r="AD8" s="9">
        <v>8</v>
      </c>
      <c r="AE8" s="62">
        <v>32</v>
      </c>
      <c r="AF8" s="9">
        <f>AE8*100/AC8</f>
        <v>100</v>
      </c>
      <c r="AG8" s="58">
        <v>21337</v>
      </c>
      <c r="AH8" s="27">
        <v>8</v>
      </c>
      <c r="AI8" s="27">
        <v>8</v>
      </c>
      <c r="AJ8" s="27">
        <v>7</v>
      </c>
      <c r="AK8" s="27">
        <v>6</v>
      </c>
      <c r="AL8" s="27">
        <v>4</v>
      </c>
      <c r="AM8" s="245">
        <v>8</v>
      </c>
      <c r="AN8" s="27">
        <v>4</v>
      </c>
      <c r="AO8" s="252">
        <f>AN8*100/AM8</f>
        <v>50</v>
      </c>
    </row>
    <row r="9" spans="1:42" s="55" customFormat="1" ht="22.5" customHeight="1">
      <c r="A9" s="147" t="s">
        <v>18</v>
      </c>
      <c r="B9" s="56"/>
      <c r="C9" s="56"/>
      <c r="D9" s="56"/>
      <c r="E9" s="264"/>
      <c r="F9" s="264"/>
      <c r="G9" s="264">
        <v>1</v>
      </c>
      <c r="H9" s="264">
        <f>SUM(E9:G9)</f>
        <v>1</v>
      </c>
      <c r="I9" s="441">
        <v>1</v>
      </c>
      <c r="J9" s="11">
        <f>0+0+8</f>
        <v>8</v>
      </c>
      <c r="K9" s="11"/>
      <c r="L9" s="11">
        <f>SUM(J9:K9)</f>
        <v>8</v>
      </c>
      <c r="M9" s="11">
        <f>J9</f>
        <v>8</v>
      </c>
      <c r="N9" s="441">
        <v>8</v>
      </c>
      <c r="O9" s="13">
        <f>N9*100/M9</f>
        <v>100</v>
      </c>
      <c r="P9" s="13">
        <v>16</v>
      </c>
      <c r="Q9" s="11">
        <f>0+0+8</f>
        <v>8</v>
      </c>
      <c r="R9" s="11"/>
      <c r="S9" s="11">
        <f>SUM(Q9:R9)</f>
        <v>8</v>
      </c>
      <c r="T9" s="6">
        <f>Q9</f>
        <v>8</v>
      </c>
      <c r="U9" s="441">
        <v>8</v>
      </c>
      <c r="V9" s="13">
        <f>U9*100/T9</f>
        <v>100</v>
      </c>
      <c r="W9" s="13">
        <v>8</v>
      </c>
      <c r="X9" s="11">
        <f t="shared" si="0"/>
        <v>24</v>
      </c>
      <c r="Y9" s="11">
        <f t="shared" si="0"/>
        <v>24</v>
      </c>
      <c r="Z9" s="11">
        <f t="shared" si="0"/>
        <v>24</v>
      </c>
      <c r="AA9" s="11">
        <f t="shared" si="0"/>
        <v>24</v>
      </c>
      <c r="AB9" s="11">
        <f>SUM(X9:AA9)</f>
        <v>96</v>
      </c>
      <c r="AC9" s="6">
        <f>X9+8</f>
        <v>32</v>
      </c>
      <c r="AD9" s="458">
        <v>8</v>
      </c>
      <c r="AE9" s="459">
        <v>32</v>
      </c>
      <c r="AF9" s="1">
        <f>AE9*100/AC9</f>
        <v>100</v>
      </c>
      <c r="AG9" s="179">
        <v>21337</v>
      </c>
      <c r="AH9" s="46">
        <v>8</v>
      </c>
      <c r="AI9" s="46">
        <v>8</v>
      </c>
      <c r="AJ9" s="46">
        <v>6</v>
      </c>
      <c r="AK9" s="46">
        <v>6</v>
      </c>
      <c r="AL9" s="46">
        <v>3</v>
      </c>
      <c r="AM9" s="246">
        <v>8</v>
      </c>
      <c r="AN9" s="46">
        <v>4</v>
      </c>
      <c r="AO9" s="249">
        <f>AN9*100/AM9</f>
        <v>50</v>
      </c>
      <c r="AP9" s="115"/>
    </row>
    <row r="10" spans="1:42" s="55" customFormat="1" ht="22.5" customHeight="1">
      <c r="A10" s="147" t="s">
        <v>65</v>
      </c>
      <c r="B10" s="56"/>
      <c r="C10" s="56"/>
      <c r="D10" s="56"/>
      <c r="E10" s="264"/>
      <c r="F10" s="264">
        <v>1</v>
      </c>
      <c r="G10" s="264"/>
      <c r="H10" s="264">
        <f>SUM(E10:G10)</f>
        <v>1</v>
      </c>
      <c r="I10" s="441">
        <v>1</v>
      </c>
      <c r="J10" s="11">
        <f>0+8+0</f>
        <v>8</v>
      </c>
      <c r="K10" s="11"/>
      <c r="L10" s="11">
        <f>SUM(J10:K10)</f>
        <v>8</v>
      </c>
      <c r="M10" s="11">
        <f>J10</f>
        <v>8</v>
      </c>
      <c r="N10" s="441">
        <v>8</v>
      </c>
      <c r="O10" s="13">
        <f>N10*100/M10</f>
        <v>100</v>
      </c>
      <c r="P10" s="13">
        <v>16</v>
      </c>
      <c r="Q10" s="11">
        <f>0+0+8</f>
        <v>8</v>
      </c>
      <c r="R10" s="11"/>
      <c r="S10" s="11">
        <f>SUM(Q10:R10)</f>
        <v>8</v>
      </c>
      <c r="T10" s="6">
        <f>Q10</f>
        <v>8</v>
      </c>
      <c r="U10" s="441">
        <v>8</v>
      </c>
      <c r="V10" s="13">
        <f>U10*100/T10</f>
        <v>100</v>
      </c>
      <c r="W10" s="13">
        <v>8</v>
      </c>
      <c r="X10" s="11">
        <f>0+6+2</f>
        <v>8</v>
      </c>
      <c r="Y10" s="11">
        <f>6+3+5</f>
        <v>14</v>
      </c>
      <c r="Z10" s="11">
        <f>3+5+3</f>
        <v>11</v>
      </c>
      <c r="AA10" s="11">
        <f>5+3+7</f>
        <v>15</v>
      </c>
      <c r="AB10" s="11">
        <f>SUM(X10:AA10)</f>
        <v>48</v>
      </c>
      <c r="AC10" s="6">
        <f>X10+6</f>
        <v>14</v>
      </c>
      <c r="AD10" s="458">
        <v>8</v>
      </c>
      <c r="AE10" s="459">
        <v>14</v>
      </c>
      <c r="AF10" s="1">
        <f>AE10*100/AC10</f>
        <v>100</v>
      </c>
      <c r="AG10" s="179">
        <v>21337</v>
      </c>
      <c r="AH10" s="46">
        <v>8</v>
      </c>
      <c r="AI10" s="46">
        <v>8</v>
      </c>
      <c r="AJ10" s="46">
        <v>6</v>
      </c>
      <c r="AK10" s="46">
        <v>7</v>
      </c>
      <c r="AL10" s="46">
        <v>7</v>
      </c>
      <c r="AM10" s="246">
        <v>8</v>
      </c>
      <c r="AN10" s="46">
        <v>1</v>
      </c>
      <c r="AO10" s="249">
        <f t="shared" ref="AO10:AO11" si="1">AN10*100/AM10</f>
        <v>12.5</v>
      </c>
      <c r="AP10" s="115"/>
    </row>
    <row r="11" spans="1:42" s="55" customFormat="1" ht="22.5" customHeight="1">
      <c r="A11" s="176" t="s">
        <v>26</v>
      </c>
      <c r="B11" s="177"/>
      <c r="C11" s="177"/>
      <c r="D11" s="177"/>
      <c r="E11" s="97">
        <v>2</v>
      </c>
      <c r="F11" s="97"/>
      <c r="G11" s="97"/>
      <c r="H11" s="97">
        <f>SUM(E11:G11)</f>
        <v>2</v>
      </c>
      <c r="I11" s="442">
        <v>2</v>
      </c>
      <c r="J11" s="96">
        <f>0+0+16</f>
        <v>16</v>
      </c>
      <c r="K11" s="96"/>
      <c r="L11" s="96">
        <f>SUM(J11:K11)</f>
        <v>16</v>
      </c>
      <c r="M11" s="96">
        <f>J11</f>
        <v>16</v>
      </c>
      <c r="N11" s="442">
        <v>16</v>
      </c>
      <c r="O11" s="97">
        <f>N11*100/M11</f>
        <v>100</v>
      </c>
      <c r="P11" s="97">
        <v>32</v>
      </c>
      <c r="Q11" s="96">
        <f>0+0+16</f>
        <v>16</v>
      </c>
      <c r="R11" s="96"/>
      <c r="S11" s="96">
        <f>SUM(Q11:R11)</f>
        <v>16</v>
      </c>
      <c r="T11" s="87">
        <f>Q11</f>
        <v>16</v>
      </c>
      <c r="U11" s="442">
        <v>16</v>
      </c>
      <c r="V11" s="97">
        <f>U11*100/T11</f>
        <v>100</v>
      </c>
      <c r="W11" s="97">
        <v>16</v>
      </c>
      <c r="X11" s="96">
        <f>5+11+6</f>
        <v>22</v>
      </c>
      <c r="Y11" s="96">
        <f>10+6+10</f>
        <v>26</v>
      </c>
      <c r="Z11" s="96">
        <f>6+10+6</f>
        <v>22</v>
      </c>
      <c r="AA11" s="96">
        <f>10+6+10</f>
        <v>26</v>
      </c>
      <c r="AB11" s="96">
        <f>SUM(X11:AA11)</f>
        <v>96</v>
      </c>
      <c r="AC11" s="87">
        <f>X11+10</f>
        <v>32</v>
      </c>
      <c r="AD11" s="460">
        <v>16</v>
      </c>
      <c r="AE11" s="470">
        <v>32</v>
      </c>
      <c r="AF11" s="170">
        <f>AE11*100/AC11</f>
        <v>100</v>
      </c>
      <c r="AG11" s="180">
        <v>21337</v>
      </c>
      <c r="AH11" s="86">
        <v>16</v>
      </c>
      <c r="AI11" s="86">
        <v>16</v>
      </c>
      <c r="AJ11" s="86">
        <v>12</v>
      </c>
      <c r="AK11" s="86">
        <v>11</v>
      </c>
      <c r="AL11" s="86">
        <v>5</v>
      </c>
      <c r="AM11" s="247">
        <v>16</v>
      </c>
      <c r="AN11" s="86">
        <v>8</v>
      </c>
      <c r="AO11" s="250">
        <f t="shared" si="1"/>
        <v>50</v>
      </c>
      <c r="AP11" s="115"/>
    </row>
    <row r="12" spans="1:42" s="55" customFormat="1" ht="22.5" customHeight="1">
      <c r="A12" s="149" t="s">
        <v>4</v>
      </c>
      <c r="B12" s="74">
        <f>SUM(B8:B11)</f>
        <v>0</v>
      </c>
      <c r="C12" s="74">
        <f t="shared" ref="C12:D12" si="2">SUM(C8:C11)</f>
        <v>0</v>
      </c>
      <c r="D12" s="74">
        <f t="shared" si="2"/>
        <v>0</v>
      </c>
      <c r="E12" s="31">
        <f>SUM(E8:E11)</f>
        <v>2</v>
      </c>
      <c r="F12" s="31">
        <f t="shared" ref="F12:H12" si="3">SUM(F8:F11)</f>
        <v>2</v>
      </c>
      <c r="G12" s="31">
        <f t="shared" si="3"/>
        <v>1</v>
      </c>
      <c r="H12" s="31">
        <f t="shared" si="3"/>
        <v>5</v>
      </c>
      <c r="I12" s="31">
        <f>SUM(I8:I11)</f>
        <v>5</v>
      </c>
      <c r="J12" s="19">
        <f>SUM(J8:J11)</f>
        <v>40</v>
      </c>
      <c r="K12" s="19"/>
      <c r="L12" s="19">
        <f>SUM(L8:L11)</f>
        <v>40</v>
      </c>
      <c r="M12" s="306">
        <f t="shared" ref="M12" si="4">SUM(M8:M11)</f>
        <v>40</v>
      </c>
      <c r="N12" s="31">
        <f>SUM(N8:N11)</f>
        <v>40</v>
      </c>
      <c r="O12" s="31">
        <f>N12*100/M12</f>
        <v>100</v>
      </c>
      <c r="P12" s="31">
        <f>SUM(P8:P11)</f>
        <v>96</v>
      </c>
      <c r="Q12" s="19">
        <f t="shared" ref="Q12:AD12" si="5">SUM(Q8:Q11)</f>
        <v>40</v>
      </c>
      <c r="R12" s="19">
        <f t="shared" si="5"/>
        <v>0</v>
      </c>
      <c r="S12" s="19">
        <f t="shared" si="5"/>
        <v>40</v>
      </c>
      <c r="T12" s="28">
        <f t="shared" si="5"/>
        <v>40</v>
      </c>
      <c r="U12" s="31">
        <f>SUM(U8:U11)</f>
        <v>40</v>
      </c>
      <c r="V12" s="31">
        <f>U12*100/T12</f>
        <v>100</v>
      </c>
      <c r="W12" s="31">
        <f>SUM(W8:W11)</f>
        <v>40</v>
      </c>
      <c r="X12" s="19">
        <f t="shared" si="5"/>
        <v>78</v>
      </c>
      <c r="Y12" s="19">
        <f t="shared" si="5"/>
        <v>88</v>
      </c>
      <c r="Z12" s="19">
        <f t="shared" si="5"/>
        <v>81</v>
      </c>
      <c r="AA12" s="19">
        <f t="shared" si="5"/>
        <v>89</v>
      </c>
      <c r="AB12" s="19">
        <f t="shared" si="5"/>
        <v>336</v>
      </c>
      <c r="AC12" s="30">
        <f>SUM(AC8:AC11)</f>
        <v>110</v>
      </c>
      <c r="AD12" s="31">
        <f t="shared" si="5"/>
        <v>40</v>
      </c>
      <c r="AE12" s="31">
        <f>SUM(AE8:AE11)</f>
        <v>110</v>
      </c>
      <c r="AF12" s="31">
        <f>AE12*100/AC12</f>
        <v>100</v>
      </c>
      <c r="AG12" s="169"/>
      <c r="AH12" s="169">
        <f>SUM(AH8:AH11)</f>
        <v>40</v>
      </c>
      <c r="AI12" s="93">
        <f>SUM(AI8:AI11)</f>
        <v>40</v>
      </c>
      <c r="AJ12" s="93">
        <f>SUM(AJ8:AJ11)</f>
        <v>31</v>
      </c>
      <c r="AK12" s="93">
        <f>SUM(AK8:AK11)</f>
        <v>30</v>
      </c>
      <c r="AL12" s="93">
        <f t="shared" ref="AL12" si="6">SUM(AL8:AL11)</f>
        <v>19</v>
      </c>
      <c r="AM12" s="248">
        <f>SUM(AM8:AM11)</f>
        <v>40</v>
      </c>
      <c r="AN12" s="93">
        <f>SUM(AN8:AN11)</f>
        <v>17</v>
      </c>
      <c r="AO12" s="251">
        <f>AN12*100/AM12</f>
        <v>42.5</v>
      </c>
    </row>
    <row r="13" spans="1:42" s="55" customFormat="1" ht="27.75" customHeight="1">
      <c r="A13" s="90"/>
      <c r="B13" s="90"/>
      <c r="C13" s="90"/>
      <c r="D13" s="90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60"/>
      <c r="AF13" s="160"/>
      <c r="AI13" s="184"/>
      <c r="AJ13" s="238"/>
      <c r="AK13" s="209"/>
    </row>
    <row r="14" spans="1:42" s="55" customFormat="1" ht="23.25" customHeight="1">
      <c r="A14" s="182"/>
      <c r="B14" s="182"/>
      <c r="C14" s="182"/>
      <c r="D14" s="182"/>
      <c r="E14" s="255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277" t="s">
        <v>97</v>
      </c>
      <c r="Y14" s="160"/>
      <c r="Z14" s="160"/>
      <c r="AA14" s="160"/>
      <c r="AB14" s="160"/>
      <c r="AC14" s="160"/>
      <c r="AD14" s="160"/>
      <c r="AE14" s="160"/>
      <c r="AF14" s="160"/>
      <c r="AI14" s="110"/>
      <c r="AJ14" s="209"/>
      <c r="AK14" s="209"/>
    </row>
    <row r="15" spans="1:42" s="55" customFormat="1" ht="21.75" customHeight="1">
      <c r="A15" s="182"/>
      <c r="B15" s="182"/>
      <c r="C15" s="182"/>
      <c r="D15" s="182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277" t="s">
        <v>98</v>
      </c>
      <c r="Y15" s="182"/>
      <c r="Z15" s="255"/>
      <c r="AA15" s="160"/>
      <c r="AB15" s="160"/>
      <c r="AC15" s="160"/>
      <c r="AD15" s="160"/>
      <c r="AE15" s="160"/>
      <c r="AF15" s="160"/>
      <c r="AI15" s="110"/>
      <c r="AJ15" s="209"/>
      <c r="AK15" s="209"/>
    </row>
    <row r="16" spans="1:42" ht="17.25" customHeight="1">
      <c r="A16" s="182"/>
      <c r="B16" s="182"/>
      <c r="C16" s="182"/>
      <c r="D16" s="182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277"/>
      <c r="Y16" s="254"/>
      <c r="Z16" s="136"/>
      <c r="AA16" s="160"/>
      <c r="AB16" s="160"/>
      <c r="AC16" s="160"/>
      <c r="AD16" s="160"/>
      <c r="AE16" s="160"/>
      <c r="AF16" s="160"/>
      <c r="AG16" s="55"/>
      <c r="AH16" s="55"/>
      <c r="AL16" s="564"/>
      <c r="AM16" s="564"/>
      <c r="AN16" s="241"/>
    </row>
    <row r="17" spans="1:40" ht="17.25" customHeight="1">
      <c r="A17" s="182"/>
      <c r="B17" s="182"/>
      <c r="C17" s="182"/>
      <c r="D17" s="182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443"/>
      <c r="Z17" s="136"/>
      <c r="AA17" s="160"/>
      <c r="AB17" s="160"/>
      <c r="AC17" s="160"/>
      <c r="AD17" s="160"/>
      <c r="AE17" s="160"/>
      <c r="AF17" s="160"/>
      <c r="AG17" s="55"/>
      <c r="AH17" s="55"/>
      <c r="AL17" s="435"/>
      <c r="AM17" s="435"/>
      <c r="AN17" s="435"/>
    </row>
    <row r="18" spans="1:40" ht="21.75" customHeight="1" thickBot="1">
      <c r="A18" s="182"/>
      <c r="B18" s="182"/>
      <c r="C18" s="182"/>
      <c r="D18" s="182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254"/>
      <c r="Z18" s="136"/>
      <c r="AA18" s="160"/>
      <c r="AB18" s="160"/>
      <c r="AC18" s="160"/>
      <c r="AD18" s="160"/>
      <c r="AE18" s="160"/>
      <c r="AF18" s="160"/>
      <c r="AG18" s="55"/>
      <c r="AH18" s="55"/>
      <c r="AL18" s="253"/>
      <c r="AM18" s="253"/>
      <c r="AN18" s="253"/>
    </row>
    <row r="19" spans="1:40" ht="22.5" customHeight="1">
      <c r="A19" s="182"/>
      <c r="B19" s="182"/>
      <c r="C19" s="182"/>
      <c r="D19" s="182"/>
      <c r="E19" s="307" t="s">
        <v>28</v>
      </c>
      <c r="F19" s="308"/>
      <c r="G19" s="308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10"/>
      <c r="S19" s="31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315"/>
      <c r="AE19" s="315"/>
      <c r="AF19" s="316"/>
      <c r="AG19" s="55"/>
      <c r="AH19" s="55"/>
      <c r="AJ19" s="92"/>
      <c r="AK19" s="92"/>
      <c r="AL19" s="91"/>
    </row>
    <row r="20" spans="1:40" ht="18.75" customHeight="1">
      <c r="A20" s="182"/>
      <c r="B20" s="182"/>
      <c r="C20" s="182"/>
      <c r="D20" s="182"/>
      <c r="E20" s="551" t="s">
        <v>8</v>
      </c>
      <c r="F20" s="475"/>
      <c r="G20" s="277" t="s">
        <v>99</v>
      </c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9"/>
      <c r="S20" s="279"/>
      <c r="T20" s="49"/>
      <c r="U20" s="49"/>
      <c r="V20" s="49"/>
      <c r="W20" s="49"/>
      <c r="X20" s="49"/>
      <c r="Y20" s="49"/>
      <c r="Z20" s="49"/>
      <c r="AA20" s="49"/>
      <c r="AB20" s="49"/>
      <c r="AC20" s="552" t="s">
        <v>108</v>
      </c>
      <c r="AD20" s="552"/>
      <c r="AE20" s="552"/>
      <c r="AF20" s="553"/>
      <c r="AG20" s="55"/>
      <c r="AH20" s="55"/>
    </row>
    <row r="21" spans="1:40" ht="18.75" customHeight="1">
      <c r="A21" s="182"/>
      <c r="B21" s="182"/>
      <c r="C21" s="182"/>
      <c r="D21" s="182"/>
      <c r="E21" s="311"/>
      <c r="F21" s="277"/>
      <c r="G21" s="277" t="s">
        <v>100</v>
      </c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9"/>
      <c r="S21" s="279"/>
      <c r="T21" s="49"/>
      <c r="U21" s="49"/>
      <c r="V21" s="49"/>
      <c r="W21" s="49"/>
      <c r="X21" s="49"/>
      <c r="Y21" s="49"/>
      <c r="Z21" s="49"/>
      <c r="AA21" s="49"/>
      <c r="AB21" s="49"/>
      <c r="AC21" s="552"/>
      <c r="AD21" s="552"/>
      <c r="AE21" s="552"/>
      <c r="AF21" s="553"/>
      <c r="AG21" s="55"/>
      <c r="AH21" s="55"/>
    </row>
    <row r="22" spans="1:40" ht="18.75" customHeight="1">
      <c r="A22" s="182"/>
      <c r="B22" s="182"/>
      <c r="C22" s="182"/>
      <c r="D22" s="182"/>
      <c r="E22" s="311"/>
      <c r="F22" s="277"/>
      <c r="G22" s="317" t="s">
        <v>101</v>
      </c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8"/>
      <c r="S22" s="318"/>
      <c r="T22" s="319"/>
      <c r="U22" s="319"/>
      <c r="V22" s="319"/>
      <c r="W22" s="319"/>
      <c r="X22" s="319"/>
      <c r="Y22" s="319"/>
      <c r="Z22" s="319"/>
      <c r="AA22" s="319"/>
      <c r="AB22" s="319"/>
      <c r="AC22" s="552"/>
      <c r="AD22" s="552"/>
      <c r="AE22" s="552"/>
      <c r="AF22" s="553"/>
      <c r="AG22" s="55"/>
      <c r="AH22" s="55"/>
    </row>
    <row r="23" spans="1:40" ht="18.75" customHeight="1">
      <c r="E23" s="312"/>
      <c r="F23" s="277"/>
      <c r="G23" s="320" t="s">
        <v>102</v>
      </c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1"/>
      <c r="S23" s="321"/>
      <c r="T23" s="322"/>
      <c r="U23" s="322"/>
      <c r="V23" s="322"/>
      <c r="W23" s="322"/>
      <c r="X23" s="322"/>
      <c r="Y23" s="322"/>
      <c r="Z23" s="322"/>
      <c r="AA23" s="322"/>
      <c r="AB23" s="322"/>
      <c r="AC23" s="554" t="s">
        <v>109</v>
      </c>
      <c r="AD23" s="554"/>
      <c r="AE23" s="554"/>
      <c r="AF23" s="555"/>
      <c r="AG23" s="49"/>
    </row>
    <row r="24" spans="1:40" ht="18.75" customHeight="1">
      <c r="E24" s="312"/>
      <c r="F24" s="277"/>
      <c r="G24" s="277" t="s">
        <v>103</v>
      </c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9"/>
      <c r="S24" s="279"/>
      <c r="T24" s="49"/>
      <c r="U24" s="49"/>
      <c r="V24" s="49"/>
      <c r="W24" s="49"/>
      <c r="X24" s="49"/>
      <c r="Y24" s="49"/>
      <c r="Z24" s="49"/>
      <c r="AA24" s="49"/>
      <c r="AB24" s="49"/>
      <c r="AC24" s="552"/>
      <c r="AD24" s="552"/>
      <c r="AE24" s="552"/>
      <c r="AF24" s="553"/>
      <c r="AG24" s="49"/>
    </row>
    <row r="25" spans="1:40" ht="18.75" customHeight="1">
      <c r="E25" s="312"/>
      <c r="F25" s="277"/>
      <c r="G25" s="317" t="s">
        <v>104</v>
      </c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8"/>
      <c r="S25" s="318"/>
      <c r="T25" s="319"/>
      <c r="U25" s="319"/>
      <c r="V25" s="319"/>
      <c r="W25" s="319"/>
      <c r="X25" s="319"/>
      <c r="Y25" s="319"/>
      <c r="Z25" s="319"/>
      <c r="AA25" s="319"/>
      <c r="AB25" s="319"/>
      <c r="AC25" s="556"/>
      <c r="AD25" s="556"/>
      <c r="AE25" s="556"/>
      <c r="AF25" s="557"/>
    </row>
    <row r="26" spans="1:40" ht="18.75" customHeight="1">
      <c r="E26" s="312"/>
      <c r="F26" s="277"/>
      <c r="G26" s="277" t="s">
        <v>107</v>
      </c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9"/>
      <c r="S26" s="279"/>
      <c r="T26" s="49"/>
      <c r="U26" s="49"/>
      <c r="V26" s="49"/>
      <c r="W26" s="49"/>
      <c r="X26" s="49"/>
      <c r="Y26" s="49"/>
      <c r="Z26" s="49"/>
      <c r="AA26" s="49"/>
      <c r="AB26" s="49"/>
      <c r="AC26" s="552" t="s">
        <v>110</v>
      </c>
      <c r="AD26" s="552"/>
      <c r="AE26" s="552"/>
      <c r="AF26" s="553"/>
    </row>
    <row r="27" spans="1:40" ht="18.75" customHeight="1">
      <c r="E27" s="312"/>
      <c r="F27" s="277"/>
      <c r="G27" s="317" t="s">
        <v>106</v>
      </c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8"/>
      <c r="S27" s="318"/>
      <c r="T27" s="319"/>
      <c r="U27" s="319"/>
      <c r="V27" s="319"/>
      <c r="W27" s="319"/>
      <c r="X27" s="319"/>
      <c r="Y27" s="319"/>
      <c r="Z27" s="319"/>
      <c r="AA27" s="319"/>
      <c r="AB27" s="319"/>
      <c r="AC27" s="328"/>
      <c r="AD27" s="329"/>
      <c r="AE27" s="329"/>
      <c r="AF27" s="330"/>
    </row>
    <row r="28" spans="1:40" ht="18.75" customHeight="1">
      <c r="E28" s="312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9"/>
      <c r="S28" s="279"/>
      <c r="T28" s="49"/>
      <c r="U28" s="49"/>
      <c r="V28" s="49"/>
      <c r="W28" s="49"/>
      <c r="X28" s="49"/>
      <c r="Y28" s="49"/>
      <c r="Z28" s="49"/>
      <c r="AA28" s="49"/>
      <c r="AB28" s="49"/>
      <c r="AC28" s="323"/>
      <c r="AD28" s="326"/>
      <c r="AE28" s="326"/>
      <c r="AF28" s="327"/>
    </row>
    <row r="29" spans="1:40" ht="18.75" customHeight="1">
      <c r="E29" s="551" t="s">
        <v>23</v>
      </c>
      <c r="F29" s="475"/>
      <c r="G29" s="277" t="s">
        <v>105</v>
      </c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9"/>
      <c r="S29" s="279"/>
      <c r="T29" s="49"/>
      <c r="U29" s="49"/>
      <c r="V29" s="49"/>
      <c r="W29" s="49"/>
      <c r="X29" s="49"/>
      <c r="Y29" s="49"/>
      <c r="Z29" s="49"/>
      <c r="AA29" s="49"/>
      <c r="AB29" s="49"/>
      <c r="AC29" s="552" t="s">
        <v>53</v>
      </c>
      <c r="AD29" s="552"/>
      <c r="AE29" s="552"/>
      <c r="AF29" s="553"/>
    </row>
    <row r="30" spans="1:40" ht="18.75" customHeight="1" thickBot="1">
      <c r="E30" s="313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52"/>
      <c r="U30" s="52"/>
      <c r="V30" s="52"/>
      <c r="W30" s="52"/>
      <c r="X30" s="52"/>
      <c r="Y30" s="52"/>
      <c r="Z30" s="52"/>
      <c r="AA30" s="52"/>
      <c r="AB30" s="52"/>
      <c r="AC30" s="324"/>
      <c r="AD30" s="325"/>
      <c r="AE30" s="325"/>
      <c r="AF30" s="53"/>
    </row>
    <row r="31" spans="1:40" ht="27.75" customHeight="1">
      <c r="X31" s="49"/>
      <c r="Y31" s="49"/>
      <c r="Z31" s="49"/>
      <c r="AA31" s="49"/>
    </row>
    <row r="35" spans="1:4" ht="27.75" customHeight="1">
      <c r="A35" s="26"/>
      <c r="B35" s="76"/>
      <c r="C35" s="76"/>
      <c r="D35" s="76"/>
    </row>
  </sheetData>
  <mergeCells count="43">
    <mergeCell ref="AO6:AO7"/>
    <mergeCell ref="AM4:AO5"/>
    <mergeCell ref="B4:D5"/>
    <mergeCell ref="B6:B7"/>
    <mergeCell ref="C6:C7"/>
    <mergeCell ref="D6:D7"/>
    <mergeCell ref="J4:P4"/>
    <mergeCell ref="J5:M5"/>
    <mergeCell ref="N5:P6"/>
    <mergeCell ref="J6:L6"/>
    <mergeCell ref="M6:M7"/>
    <mergeCell ref="AN6:AN7"/>
    <mergeCell ref="Q6:S6"/>
    <mergeCell ref="Q4:W4"/>
    <mergeCell ref="U5:W6"/>
    <mergeCell ref="AL16:AM16"/>
    <mergeCell ref="AG4:AL4"/>
    <mergeCell ref="AI5:AL5"/>
    <mergeCell ref="AM6:AM7"/>
    <mergeCell ref="X4:AF4"/>
    <mergeCell ref="AD5:AF6"/>
    <mergeCell ref="AK6:AL6"/>
    <mergeCell ref="X5:AC5"/>
    <mergeCell ref="AC6:AC7"/>
    <mergeCell ref="AG5:AH6"/>
    <mergeCell ref="AI6:AI7"/>
    <mergeCell ref="X6:AB6"/>
    <mergeCell ref="AJ6:AJ7"/>
    <mergeCell ref="A1:AF1"/>
    <mergeCell ref="A2:AF2"/>
    <mergeCell ref="E20:F20"/>
    <mergeCell ref="AC20:AF22"/>
    <mergeCell ref="E6:H6"/>
    <mergeCell ref="E5:H5"/>
    <mergeCell ref="A4:A7"/>
    <mergeCell ref="Q5:T5"/>
    <mergeCell ref="T6:T7"/>
    <mergeCell ref="E29:F29"/>
    <mergeCell ref="AC26:AF26"/>
    <mergeCell ref="AC23:AF25"/>
    <mergeCell ref="AC29:AF29"/>
    <mergeCell ref="E4:I4"/>
    <mergeCell ref="I5:I7"/>
  </mergeCells>
  <printOptions horizontalCentered="1"/>
  <pageMargins left="0" right="0" top="0" bottom="0" header="0.31496062992125984" footer="0.19685039370078741"/>
  <pageSetup paperSize="9" scale="85" orientation="landscape" r:id="rId1"/>
  <headerFooter alignWithMargins="0">
    <oddFooter>&amp;C&amp;8&amp;Z&amp;F</oddFooter>
  </headerFooter>
  <drawing r:id="rId2"/>
  <legacyDrawing r:id="rId3"/>
  <controls>
    <control shapeId="11267" r:id="rId4" name="Control 3"/>
    <control shapeId="11266" r:id="rId5" name="Control 2"/>
    <control shapeId="11265" r:id="rId6" name="Control 1"/>
  </controls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="90" zoomScaleNormal="90" workbookViewId="0">
      <selection activeCell="W9" sqref="W9"/>
    </sheetView>
  </sheetViews>
  <sheetFormatPr defaultRowHeight="27.75" customHeight="1"/>
  <cols>
    <col min="1" max="1" width="20.7109375" style="25" customWidth="1"/>
    <col min="2" max="2" width="8.28515625" style="25" hidden="1" customWidth="1"/>
    <col min="3" max="5" width="7.5703125" style="25" hidden="1" customWidth="1"/>
    <col min="6" max="6" width="6.140625" style="25" hidden="1" customWidth="1"/>
    <col min="7" max="7" width="5.42578125" style="25" hidden="1" customWidth="1"/>
    <col min="8" max="8" width="6.140625" style="25" customWidth="1"/>
    <col min="9" max="9" width="7.140625" style="25" customWidth="1"/>
    <col min="10" max="10" width="7.28515625" style="25" customWidth="1"/>
    <col min="11" max="11" width="9" style="25" customWidth="1"/>
    <col min="12" max="12" width="7.42578125" style="25" customWidth="1"/>
    <col min="13" max="13" width="6.85546875" style="25" customWidth="1"/>
    <col min="14" max="14" width="9" style="25" customWidth="1"/>
    <col min="15" max="15" width="12.85546875" style="25" customWidth="1"/>
    <col min="16" max="16" width="7.42578125" style="25" customWidth="1"/>
    <col min="17" max="17" width="9.42578125" style="25" customWidth="1"/>
    <col min="18" max="18" width="12" style="25" customWidth="1"/>
    <col min="19" max="19" width="7.5703125" style="25" customWidth="1"/>
    <col min="20" max="16384" width="9.140625" style="25"/>
  </cols>
  <sheetData>
    <row r="1" spans="1:19" s="55" customFormat="1" ht="20.25" customHeight="1">
      <c r="A1" s="593" t="str">
        <f>'(PC-RC1)_อบรมผู้ตรวจสอบกิจการ'!A1:AB1</f>
        <v>รายละเอียดแผนการปฏิบัติงานและความก้าวหน้าผลการปฏิบัติงาน ณ วันที่  31  มกราคม 2559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</row>
    <row r="2" spans="1:19" s="55" customFormat="1" ht="20.25" customHeight="1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</row>
    <row r="3" spans="1:19" s="55" customFormat="1" ht="21.75" customHeight="1">
      <c r="A3" s="161" t="s">
        <v>111</v>
      </c>
      <c r="B3" s="161"/>
      <c r="C3" s="161"/>
      <c r="D3" s="161"/>
      <c r="E3" s="161"/>
      <c r="F3" s="161"/>
      <c r="G3" s="161"/>
      <c r="P3" s="601"/>
      <c r="Q3" s="601"/>
      <c r="R3" s="162"/>
      <c r="S3" s="231"/>
    </row>
    <row r="4" spans="1:19" s="55" customFormat="1" ht="45" customHeight="1">
      <c r="A4" s="502" t="s">
        <v>8</v>
      </c>
      <c r="B4" s="598" t="s">
        <v>31</v>
      </c>
      <c r="C4" s="582" t="s">
        <v>32</v>
      </c>
      <c r="D4" s="583"/>
      <c r="E4" s="583"/>
      <c r="F4" s="583"/>
      <c r="G4" s="584"/>
      <c r="H4" s="558" t="s">
        <v>112</v>
      </c>
      <c r="I4" s="559"/>
      <c r="J4" s="559"/>
      <c r="K4" s="559"/>
      <c r="L4" s="559"/>
      <c r="M4" s="559"/>
      <c r="N4" s="594"/>
      <c r="O4" s="602" t="s">
        <v>29</v>
      </c>
      <c r="P4" s="602"/>
      <c r="Q4" s="602"/>
      <c r="R4" s="602"/>
      <c r="S4" s="602"/>
    </row>
    <row r="5" spans="1:19" s="55" customFormat="1" ht="30.75" customHeight="1">
      <c r="A5" s="503"/>
      <c r="B5" s="599"/>
      <c r="C5" s="585"/>
      <c r="D5" s="586"/>
      <c r="E5" s="586"/>
      <c r="F5" s="586"/>
      <c r="G5" s="587"/>
      <c r="H5" s="534" t="s">
        <v>3</v>
      </c>
      <c r="I5" s="535"/>
      <c r="J5" s="535"/>
      <c r="K5" s="507"/>
      <c r="L5" s="595" t="s">
        <v>14</v>
      </c>
      <c r="M5" s="596"/>
      <c r="N5" s="597"/>
      <c r="O5" s="573" t="s">
        <v>3</v>
      </c>
      <c r="P5" s="573"/>
      <c r="Q5" s="573" t="s">
        <v>14</v>
      </c>
      <c r="R5" s="573"/>
      <c r="S5" s="573"/>
    </row>
    <row r="6" spans="1:19" s="55" customFormat="1" ht="30.75" customHeight="1">
      <c r="A6" s="503"/>
      <c r="B6" s="599"/>
      <c r="C6" s="588" t="s">
        <v>33</v>
      </c>
      <c r="D6" s="588" t="s">
        <v>34</v>
      </c>
      <c r="E6" s="588" t="s">
        <v>35</v>
      </c>
      <c r="F6" s="588" t="s">
        <v>36</v>
      </c>
      <c r="G6" s="588" t="s">
        <v>37</v>
      </c>
      <c r="H6" s="536" t="s">
        <v>1</v>
      </c>
      <c r="I6" s="536"/>
      <c r="J6" s="536"/>
      <c r="K6" s="537" t="s">
        <v>19</v>
      </c>
      <c r="L6" s="547" t="s">
        <v>9</v>
      </c>
      <c r="M6" s="547" t="s">
        <v>17</v>
      </c>
      <c r="N6" s="649" t="s">
        <v>15</v>
      </c>
      <c r="O6" s="573" t="s">
        <v>24</v>
      </c>
      <c r="P6" s="602" t="s">
        <v>12</v>
      </c>
      <c r="Q6" s="573" t="s">
        <v>43</v>
      </c>
      <c r="R6" s="573" t="s">
        <v>44</v>
      </c>
      <c r="S6" s="603" t="s">
        <v>17</v>
      </c>
    </row>
    <row r="7" spans="1:19" s="55" customFormat="1" ht="30.75" customHeight="1">
      <c r="A7" s="542"/>
      <c r="B7" s="600"/>
      <c r="C7" s="589"/>
      <c r="D7" s="589"/>
      <c r="E7" s="589"/>
      <c r="F7" s="589"/>
      <c r="G7" s="589"/>
      <c r="H7" s="145">
        <v>1</v>
      </c>
      <c r="I7" s="145">
        <v>2</v>
      </c>
      <c r="J7" s="145" t="s">
        <v>2</v>
      </c>
      <c r="K7" s="493"/>
      <c r="L7" s="548"/>
      <c r="M7" s="548"/>
      <c r="N7" s="650"/>
      <c r="O7" s="573"/>
      <c r="P7" s="602"/>
      <c r="Q7" s="573"/>
      <c r="R7" s="573"/>
      <c r="S7" s="604"/>
    </row>
    <row r="8" spans="1:19" s="55" customFormat="1" ht="27.75" customHeight="1">
      <c r="A8" s="186" t="s">
        <v>5</v>
      </c>
      <c r="B8" s="187">
        <v>8</v>
      </c>
      <c r="C8" s="188">
        <v>7</v>
      </c>
      <c r="D8" s="188"/>
      <c r="E8" s="188">
        <v>1</v>
      </c>
      <c r="F8" s="188"/>
      <c r="G8" s="188"/>
      <c r="H8" s="189"/>
      <c r="I8" s="189">
        <f>3+0+0</f>
        <v>3</v>
      </c>
      <c r="J8" s="189">
        <f>SUM(H8:I8)</f>
        <v>3</v>
      </c>
      <c r="K8" s="190">
        <f>3</f>
        <v>3</v>
      </c>
      <c r="L8" s="191">
        <v>3</v>
      </c>
      <c r="M8" s="192">
        <f>L8*100/K8</f>
        <v>100</v>
      </c>
      <c r="N8" s="193">
        <v>3</v>
      </c>
      <c r="O8" s="347"/>
      <c r="P8" s="348"/>
      <c r="Q8" s="348"/>
      <c r="R8" s="27"/>
      <c r="S8" s="252"/>
    </row>
    <row r="9" spans="1:19" s="55" customFormat="1" ht="27.75" customHeight="1">
      <c r="A9" s="339" t="s">
        <v>68</v>
      </c>
      <c r="B9" s="340"/>
      <c r="C9" s="341"/>
      <c r="D9" s="341"/>
      <c r="E9" s="341"/>
      <c r="F9" s="341"/>
      <c r="G9" s="341"/>
      <c r="H9" s="342"/>
      <c r="I9" s="342">
        <f>3+0+0</f>
        <v>3</v>
      </c>
      <c r="J9" s="197">
        <f t="shared" ref="J9:J10" si="0">SUM(H9:I9)</f>
        <v>3</v>
      </c>
      <c r="K9" s="343">
        <v>3</v>
      </c>
      <c r="L9" s="344">
        <v>3</v>
      </c>
      <c r="M9" s="345">
        <f>L9*100/K9</f>
        <v>100</v>
      </c>
      <c r="N9" s="346">
        <v>3</v>
      </c>
      <c r="O9" s="349"/>
      <c r="P9" s="350"/>
      <c r="Q9" s="350"/>
      <c r="R9" s="351"/>
      <c r="S9" s="352"/>
    </row>
    <row r="10" spans="1:19" s="55" customFormat="1" ht="27.75" customHeight="1">
      <c r="A10" s="339" t="s">
        <v>69</v>
      </c>
      <c r="B10" s="340"/>
      <c r="C10" s="341"/>
      <c r="D10" s="341"/>
      <c r="E10" s="341"/>
      <c r="F10" s="341"/>
      <c r="G10" s="341"/>
      <c r="H10" s="342"/>
      <c r="I10" s="342">
        <f>5+0+0</f>
        <v>5</v>
      </c>
      <c r="J10" s="197">
        <f t="shared" si="0"/>
        <v>5</v>
      </c>
      <c r="K10" s="343">
        <v>5</v>
      </c>
      <c r="L10" s="344">
        <v>5</v>
      </c>
      <c r="M10" s="345">
        <f t="shared" ref="M10:M14" si="1">L10*100/K10</f>
        <v>100</v>
      </c>
      <c r="N10" s="346">
        <v>9</v>
      </c>
      <c r="O10" s="349"/>
      <c r="P10" s="350"/>
      <c r="Q10" s="350"/>
      <c r="R10" s="351"/>
      <c r="S10" s="352"/>
    </row>
    <row r="11" spans="1:19" s="55" customFormat="1" ht="27.75" customHeight="1">
      <c r="A11" s="194" t="s">
        <v>6</v>
      </c>
      <c r="B11" s="195">
        <v>23</v>
      </c>
      <c r="C11" s="196">
        <v>3</v>
      </c>
      <c r="D11" s="196">
        <v>16</v>
      </c>
      <c r="E11" s="196">
        <v>4</v>
      </c>
      <c r="F11" s="196"/>
      <c r="G11" s="196"/>
      <c r="H11" s="197"/>
      <c r="I11" s="197">
        <f>4+0+0</f>
        <v>4</v>
      </c>
      <c r="J11" s="197">
        <f>SUM(H11:I11)</f>
        <v>4</v>
      </c>
      <c r="K11" s="198">
        <v>4</v>
      </c>
      <c r="L11" s="199">
        <v>4</v>
      </c>
      <c r="M11" s="345">
        <f t="shared" si="1"/>
        <v>100</v>
      </c>
      <c r="N11" s="200">
        <v>4</v>
      </c>
      <c r="O11" s="349"/>
      <c r="P11" s="350"/>
      <c r="Q11" s="350"/>
      <c r="R11" s="351"/>
      <c r="S11" s="352"/>
    </row>
    <row r="12" spans="1:19" s="55" customFormat="1" ht="27.75" customHeight="1">
      <c r="A12" s="194" t="s">
        <v>70</v>
      </c>
      <c r="B12" s="195"/>
      <c r="C12" s="196"/>
      <c r="D12" s="196"/>
      <c r="E12" s="196"/>
      <c r="F12" s="196"/>
      <c r="G12" s="196"/>
      <c r="H12" s="197"/>
      <c r="I12" s="197">
        <f>5+0+0</f>
        <v>5</v>
      </c>
      <c r="J12" s="197">
        <f>SUM(H12:I12)</f>
        <v>5</v>
      </c>
      <c r="K12" s="198">
        <v>5</v>
      </c>
      <c r="L12" s="199">
        <v>5</v>
      </c>
      <c r="M12" s="345">
        <f t="shared" si="1"/>
        <v>100</v>
      </c>
      <c r="N12" s="200">
        <v>5</v>
      </c>
      <c r="O12" s="349"/>
      <c r="P12" s="350"/>
      <c r="Q12" s="350"/>
      <c r="R12" s="351"/>
      <c r="S12" s="352"/>
    </row>
    <row r="13" spans="1:19" s="55" customFormat="1" ht="27.75" customHeight="1">
      <c r="A13" s="194" t="s">
        <v>55</v>
      </c>
      <c r="B13" s="195"/>
      <c r="C13" s="196"/>
      <c r="D13" s="196"/>
      <c r="E13" s="196"/>
      <c r="F13" s="196"/>
      <c r="G13" s="196"/>
      <c r="H13" s="197"/>
      <c r="I13" s="197">
        <f>13+0+0</f>
        <v>13</v>
      </c>
      <c r="J13" s="197">
        <f>SUM(H13:I13)</f>
        <v>13</v>
      </c>
      <c r="K13" s="198">
        <v>13</v>
      </c>
      <c r="L13" s="199">
        <v>13</v>
      </c>
      <c r="M13" s="345">
        <f t="shared" si="1"/>
        <v>100</v>
      </c>
      <c r="N13" s="200">
        <v>13</v>
      </c>
      <c r="O13" s="349"/>
      <c r="P13" s="350"/>
      <c r="Q13" s="350"/>
      <c r="R13" s="351"/>
      <c r="S13" s="352"/>
    </row>
    <row r="14" spans="1:19" s="55" customFormat="1" ht="27.75" customHeight="1">
      <c r="A14" s="201" t="s">
        <v>7</v>
      </c>
      <c r="B14" s="202">
        <v>2</v>
      </c>
      <c r="C14" s="203">
        <v>1</v>
      </c>
      <c r="D14" s="203"/>
      <c r="E14" s="203">
        <v>1</v>
      </c>
      <c r="F14" s="203"/>
      <c r="G14" s="203"/>
      <c r="H14" s="204"/>
      <c r="I14" s="204">
        <f>2+0+0</f>
        <v>2</v>
      </c>
      <c r="J14" s="204">
        <f>SUM(H14:I14)</f>
        <v>2</v>
      </c>
      <c r="K14" s="205">
        <v>2</v>
      </c>
      <c r="L14" s="206">
        <v>2</v>
      </c>
      <c r="M14" s="207">
        <f t="shared" si="1"/>
        <v>100</v>
      </c>
      <c r="N14" s="208">
        <v>2</v>
      </c>
      <c r="O14" s="353"/>
      <c r="P14" s="354"/>
      <c r="Q14" s="354"/>
      <c r="R14" s="86"/>
      <c r="S14" s="250"/>
    </row>
    <row r="15" spans="1:19" s="55" customFormat="1" ht="26.25" customHeight="1">
      <c r="A15" s="149" t="s">
        <v>4</v>
      </c>
      <c r="B15" s="149">
        <f>SUM(B8:B14)</f>
        <v>33</v>
      </c>
      <c r="C15" s="74">
        <f>SUM(C8:C14)</f>
        <v>11</v>
      </c>
      <c r="D15" s="74">
        <f t="shared" ref="D15:E15" si="2">SUM(D8:D14)</f>
        <v>16</v>
      </c>
      <c r="E15" s="74">
        <f t="shared" si="2"/>
        <v>6</v>
      </c>
      <c r="F15" s="74"/>
      <c r="G15" s="74"/>
      <c r="H15" s="32">
        <f t="shared" ref="H15:K15" si="3">SUM(H8:H14)</f>
        <v>0</v>
      </c>
      <c r="I15" s="32">
        <f t="shared" si="3"/>
        <v>35</v>
      </c>
      <c r="J15" s="32">
        <f t="shared" si="3"/>
        <v>35</v>
      </c>
      <c r="K15" s="33">
        <f t="shared" si="3"/>
        <v>35</v>
      </c>
      <c r="L15" s="29">
        <f>SUM(L8:L14)</f>
        <v>35</v>
      </c>
      <c r="M15" s="31">
        <f>L15*100/K15</f>
        <v>100</v>
      </c>
      <c r="N15" s="45">
        <f>SUM(N8:N14)</f>
        <v>39</v>
      </c>
      <c r="O15" s="236"/>
      <c r="P15" s="237"/>
      <c r="Q15" s="237"/>
      <c r="R15" s="237"/>
      <c r="S15" s="242"/>
    </row>
    <row r="16" spans="1:19" s="55" customFormat="1" ht="24.75" customHeight="1">
      <c r="A16" s="90"/>
      <c r="B16" s="90"/>
      <c r="C16" s="90"/>
      <c r="D16" s="90"/>
      <c r="E16" s="90"/>
      <c r="F16" s="90"/>
      <c r="G16" s="90"/>
      <c r="H16" s="159"/>
      <c r="I16" s="163"/>
      <c r="J16" s="159"/>
      <c r="K16" s="159"/>
      <c r="L16" s="159"/>
      <c r="M16" s="159"/>
      <c r="N16" s="160"/>
      <c r="O16" s="164"/>
      <c r="P16" s="235"/>
      <c r="Q16" s="243"/>
      <c r="R16" s="244"/>
      <c r="S16" s="209"/>
    </row>
    <row r="17" spans="1:21" ht="21" customHeight="1">
      <c r="A17" s="165"/>
      <c r="B17" s="165"/>
      <c r="C17" s="165"/>
      <c r="D17" s="165"/>
      <c r="E17" s="165"/>
      <c r="F17" s="165"/>
      <c r="G17" s="165"/>
      <c r="H17" s="434" t="s">
        <v>146</v>
      </c>
      <c r="P17" s="153"/>
    </row>
    <row r="18" spans="1:21" ht="21" customHeight="1" thickBot="1">
      <c r="A18" s="112"/>
      <c r="B18" s="112"/>
      <c r="C18" s="112"/>
      <c r="D18" s="112"/>
      <c r="E18" s="112"/>
      <c r="F18" s="112"/>
      <c r="G18" s="112"/>
    </row>
    <row r="19" spans="1:21" ht="21" customHeight="1" thickBot="1">
      <c r="A19" s="166"/>
      <c r="B19" s="78" t="s">
        <v>28</v>
      </c>
      <c r="C19" s="69"/>
      <c r="D19" s="70"/>
      <c r="E19" s="70"/>
      <c r="F19" s="70"/>
      <c r="G19" s="70"/>
      <c r="H19" s="48"/>
      <c r="I19" s="48"/>
      <c r="J19" s="49"/>
      <c r="K19" s="49"/>
      <c r="L19" s="49"/>
      <c r="M19" s="49"/>
      <c r="N19" s="49"/>
      <c r="R19" s="178"/>
      <c r="S19" s="229"/>
    </row>
    <row r="20" spans="1:21" ht="21" customHeight="1">
      <c r="A20" s="167"/>
      <c r="B20" s="79" t="s">
        <v>8</v>
      </c>
      <c r="C20" s="71" t="s">
        <v>30</v>
      </c>
      <c r="D20" s="48"/>
      <c r="E20" s="48"/>
      <c r="F20" s="48"/>
      <c r="G20" s="48"/>
      <c r="H20" s="355" t="s">
        <v>28</v>
      </c>
      <c r="I20" s="356"/>
      <c r="J20" s="356"/>
      <c r="K20" s="295"/>
      <c r="L20" s="295"/>
      <c r="M20" s="295"/>
      <c r="N20" s="295"/>
      <c r="O20" s="359"/>
      <c r="P20" s="172"/>
      <c r="Q20" s="172"/>
      <c r="R20" s="172"/>
      <c r="S20" s="51"/>
      <c r="T20" s="49"/>
      <c r="U20" s="49"/>
    </row>
    <row r="21" spans="1:21" ht="24" customHeight="1">
      <c r="H21" s="296"/>
      <c r="I21" s="357" t="s">
        <v>23</v>
      </c>
      <c r="J21" s="277" t="s">
        <v>113</v>
      </c>
      <c r="K21" s="277"/>
      <c r="L21" s="277"/>
      <c r="M21" s="277"/>
      <c r="N21" s="277"/>
      <c r="O21" s="277"/>
      <c r="P21" s="49"/>
      <c r="Q21" s="49"/>
      <c r="R21" s="471" t="s">
        <v>51</v>
      </c>
      <c r="S21" s="590"/>
      <c r="T21" s="49"/>
      <c r="U21" s="49"/>
    </row>
    <row r="22" spans="1:21" ht="27.75" customHeight="1">
      <c r="H22" s="296"/>
      <c r="I22" s="357"/>
      <c r="J22" s="277" t="s">
        <v>114</v>
      </c>
      <c r="K22" s="277"/>
      <c r="L22" s="277"/>
      <c r="M22" s="277"/>
      <c r="N22" s="277"/>
      <c r="O22" s="277"/>
      <c r="P22" s="49"/>
      <c r="Q22" s="49"/>
      <c r="R22" s="471"/>
      <c r="S22" s="590"/>
      <c r="T22" s="49"/>
      <c r="U22" s="49"/>
    </row>
    <row r="23" spans="1:21" ht="27.75" customHeight="1">
      <c r="H23" s="296"/>
      <c r="I23" s="357"/>
      <c r="J23" s="317" t="s">
        <v>115</v>
      </c>
      <c r="K23" s="317"/>
      <c r="L23" s="317"/>
      <c r="M23" s="317"/>
      <c r="N23" s="317"/>
      <c r="O23" s="317"/>
      <c r="P23" s="319"/>
      <c r="Q23" s="319"/>
      <c r="R23" s="591"/>
      <c r="S23" s="592"/>
      <c r="T23" s="49"/>
      <c r="U23" s="49"/>
    </row>
    <row r="24" spans="1:21" ht="27.75" customHeight="1">
      <c r="H24" s="296"/>
      <c r="I24" s="357"/>
      <c r="J24" s="277" t="s">
        <v>116</v>
      </c>
      <c r="K24" s="277"/>
      <c r="L24" s="277"/>
      <c r="M24" s="277"/>
      <c r="N24" s="277"/>
      <c r="O24" s="277"/>
      <c r="P24" s="49"/>
      <c r="Q24" s="49"/>
      <c r="R24" s="304" t="s">
        <v>53</v>
      </c>
      <c r="S24" s="287"/>
      <c r="T24" s="49"/>
      <c r="U24" s="49"/>
    </row>
    <row r="25" spans="1:21" ht="9.75" customHeight="1" thickBot="1">
      <c r="H25" s="297"/>
      <c r="I25" s="358"/>
      <c r="J25" s="358"/>
      <c r="K25" s="358"/>
      <c r="L25" s="358"/>
      <c r="M25" s="358"/>
      <c r="N25" s="358"/>
      <c r="O25" s="301"/>
      <c r="P25" s="52"/>
      <c r="Q25" s="52"/>
      <c r="R25" s="52"/>
      <c r="S25" s="53"/>
      <c r="T25" s="49"/>
      <c r="U25" s="49"/>
    </row>
    <row r="30" spans="1:21" ht="27.75" customHeight="1">
      <c r="J30" s="25" t="s">
        <v>20</v>
      </c>
    </row>
  </sheetData>
  <mergeCells count="28">
    <mergeCell ref="O4:S4"/>
    <mergeCell ref="Q5:S5"/>
    <mergeCell ref="S6:S7"/>
    <mergeCell ref="O5:P5"/>
    <mergeCell ref="O6:O7"/>
    <mergeCell ref="Q6:Q7"/>
    <mergeCell ref="N6:N7"/>
    <mergeCell ref="E6:E7"/>
    <mergeCell ref="D6:D7"/>
    <mergeCell ref="H6:J6"/>
    <mergeCell ref="H5:K5"/>
    <mergeCell ref="K6:K7"/>
    <mergeCell ref="R21:S23"/>
    <mergeCell ref="A1:S1"/>
    <mergeCell ref="A2:S2"/>
    <mergeCell ref="F6:F7"/>
    <mergeCell ref="R6:R7"/>
    <mergeCell ref="G6:G7"/>
    <mergeCell ref="H4:N4"/>
    <mergeCell ref="L5:N5"/>
    <mergeCell ref="L6:L7"/>
    <mergeCell ref="M6:M7"/>
    <mergeCell ref="B4:B7"/>
    <mergeCell ref="C6:C7"/>
    <mergeCell ref="A4:A7"/>
    <mergeCell ref="P3:Q3"/>
    <mergeCell ref="P6:P7"/>
    <mergeCell ref="C4:G5"/>
  </mergeCells>
  <phoneticPr fontId="2" type="noConversion"/>
  <printOptions horizontalCentered="1"/>
  <pageMargins left="1.5748031496062993" right="0" top="0" bottom="0" header="0.31496062992125984" footer="0.19685039370078741"/>
  <pageSetup paperSize="9" scale="85" orientation="landscape" r:id="rId1"/>
  <headerFooter alignWithMargins="0">
    <oddFooter>&amp;C&amp;8&amp;Z&amp;F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7"/>
  <sheetViews>
    <sheetView zoomScale="90" zoomScaleNormal="90" workbookViewId="0">
      <selection activeCell="V21" sqref="V21"/>
    </sheetView>
  </sheetViews>
  <sheetFormatPr defaultRowHeight="27.75" customHeight="1"/>
  <cols>
    <col min="1" max="1" width="10.5703125" style="136" customWidth="1"/>
    <col min="2" max="2" width="11.42578125" style="136" customWidth="1"/>
    <col min="3" max="3" width="6.7109375" style="136" customWidth="1"/>
    <col min="4" max="4" width="6.28515625" style="136" customWidth="1"/>
    <col min="5" max="6" width="6.7109375" style="136" customWidth="1"/>
    <col min="7" max="7" width="8.28515625" style="136" customWidth="1"/>
    <col min="8" max="8" width="8.42578125" style="136" customWidth="1"/>
    <col min="9" max="9" width="9.28515625" style="136" hidden="1" customWidth="1"/>
    <col min="10" max="10" width="5.42578125" style="136" hidden="1" customWidth="1"/>
    <col min="11" max="14" width="4.7109375" style="136" customWidth="1"/>
    <col min="15" max="15" width="5.5703125" style="136" customWidth="1"/>
    <col min="16" max="16" width="7.28515625" style="136" customWidth="1"/>
    <col min="17" max="18" width="5.5703125" style="136" customWidth="1"/>
    <col min="19" max="19" width="6.5703125" style="136" customWidth="1"/>
    <col min="20" max="20" width="9" style="136" customWidth="1"/>
    <col min="21" max="21" width="13.28515625" style="136" customWidth="1"/>
    <col min="22" max="22" width="9.42578125" style="136" customWidth="1"/>
    <col min="23" max="23" width="8.5703125" style="136" customWidth="1"/>
    <col min="24" max="24" width="8.140625" style="136" customWidth="1"/>
    <col min="25" max="25" width="7.7109375" style="136" customWidth="1"/>
    <col min="26" max="16384" width="9.140625" style="136"/>
  </cols>
  <sheetData>
    <row r="1" spans="1:52" ht="22.5" customHeight="1">
      <c r="A1" s="476" t="str">
        <f>'(PC-RC1)_อบรมผู้ตรวจสอบกิจการ'!A1:AB1</f>
        <v>รายละเอียดแผนการปฏิบัติงานและความก้าวหน้าผลการปฏิบัติงาน ณ วันที่  31  มกราคม 2559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</row>
    <row r="2" spans="1:52" ht="22.5" customHeight="1">
      <c r="A2" s="476" t="s">
        <v>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</row>
    <row r="3" spans="1:52" s="25" customFormat="1" ht="22.5" customHeight="1">
      <c r="A3" s="161" t="s">
        <v>125</v>
      </c>
      <c r="B3" s="114"/>
    </row>
    <row r="4" spans="1:52" s="25" customFormat="1" ht="34.5" customHeight="1">
      <c r="A4" s="624" t="s">
        <v>8</v>
      </c>
      <c r="B4" s="627" t="s">
        <v>117</v>
      </c>
      <c r="C4" s="609" t="s">
        <v>118</v>
      </c>
      <c r="D4" s="610"/>
      <c r="E4" s="610"/>
      <c r="F4" s="610"/>
      <c r="G4" s="610"/>
      <c r="H4" s="610"/>
      <c r="I4" s="610"/>
      <c r="J4" s="611"/>
      <c r="K4" s="609" t="s">
        <v>126</v>
      </c>
      <c r="L4" s="610"/>
      <c r="M4" s="610"/>
      <c r="N4" s="610"/>
      <c r="O4" s="610"/>
      <c r="P4" s="610"/>
      <c r="Q4" s="610"/>
      <c r="R4" s="610"/>
      <c r="S4" s="611"/>
      <c r="T4" s="609" t="s">
        <v>141</v>
      </c>
      <c r="U4" s="610"/>
      <c r="V4" s="611"/>
      <c r="W4" s="630" t="s">
        <v>119</v>
      </c>
      <c r="X4" s="631"/>
      <c r="Y4" s="632"/>
    </row>
    <row r="5" spans="1:52" s="25" customFormat="1" ht="21.75" customHeight="1">
      <c r="A5" s="625"/>
      <c r="B5" s="628"/>
      <c r="C5" s="612"/>
      <c r="D5" s="613"/>
      <c r="E5" s="613"/>
      <c r="F5" s="613"/>
      <c r="G5" s="613"/>
      <c r="H5" s="613"/>
      <c r="I5" s="613"/>
      <c r="J5" s="614"/>
      <c r="K5" s="612"/>
      <c r="L5" s="613"/>
      <c r="M5" s="613"/>
      <c r="N5" s="613"/>
      <c r="O5" s="613"/>
      <c r="P5" s="613"/>
      <c r="Q5" s="613"/>
      <c r="R5" s="613"/>
      <c r="S5" s="614"/>
      <c r="T5" s="612"/>
      <c r="U5" s="613"/>
      <c r="V5" s="614"/>
      <c r="W5" s="633" t="s">
        <v>120</v>
      </c>
      <c r="X5" s="634"/>
      <c r="Y5" s="635"/>
    </row>
    <row r="6" spans="1:52" s="25" customFormat="1" ht="23.25" customHeight="1">
      <c r="A6" s="625"/>
      <c r="B6" s="628"/>
      <c r="C6" s="615" t="s">
        <v>11</v>
      </c>
      <c r="D6" s="615"/>
      <c r="E6" s="615"/>
      <c r="F6" s="615"/>
      <c r="G6" s="595" t="s">
        <v>14</v>
      </c>
      <c r="H6" s="596"/>
      <c r="I6" s="596"/>
      <c r="J6" s="539"/>
      <c r="K6" s="615" t="s">
        <v>13</v>
      </c>
      <c r="L6" s="615"/>
      <c r="M6" s="615"/>
      <c r="N6" s="615"/>
      <c r="O6" s="615"/>
      <c r="P6" s="615"/>
      <c r="Q6" s="605" t="s">
        <v>152</v>
      </c>
      <c r="R6" s="606"/>
      <c r="S6" s="549"/>
      <c r="T6" s="605" t="s">
        <v>142</v>
      </c>
      <c r="U6" s="606"/>
      <c r="V6" s="549"/>
      <c r="W6" s="619" t="s">
        <v>60</v>
      </c>
      <c r="X6" s="620"/>
      <c r="Y6" s="623" t="s">
        <v>61</v>
      </c>
    </row>
    <row r="7" spans="1:52" s="25" customFormat="1" ht="23.25" customHeight="1">
      <c r="A7" s="625"/>
      <c r="B7" s="628"/>
      <c r="C7" s="615" t="s">
        <v>1</v>
      </c>
      <c r="D7" s="615"/>
      <c r="E7" s="615"/>
      <c r="F7" s="537" t="s">
        <v>19</v>
      </c>
      <c r="G7" s="616" t="s">
        <v>9</v>
      </c>
      <c r="H7" s="617" t="s">
        <v>121</v>
      </c>
      <c r="I7" s="607" t="s">
        <v>122</v>
      </c>
      <c r="J7" s="550"/>
      <c r="K7" s="615" t="s">
        <v>1</v>
      </c>
      <c r="L7" s="615"/>
      <c r="M7" s="615"/>
      <c r="N7" s="615"/>
      <c r="O7" s="615"/>
      <c r="P7" s="537" t="s">
        <v>19</v>
      </c>
      <c r="Q7" s="607"/>
      <c r="R7" s="608"/>
      <c r="S7" s="550"/>
      <c r="T7" s="607"/>
      <c r="U7" s="608"/>
      <c r="V7" s="550"/>
      <c r="W7" s="621"/>
      <c r="X7" s="622"/>
      <c r="Y7" s="623"/>
    </row>
    <row r="8" spans="1:52" s="25" customFormat="1" ht="38.25" customHeight="1">
      <c r="A8" s="626"/>
      <c r="B8" s="629"/>
      <c r="C8" s="360">
        <v>1</v>
      </c>
      <c r="D8" s="360">
        <v>2</v>
      </c>
      <c r="E8" s="360" t="s">
        <v>2</v>
      </c>
      <c r="F8" s="493"/>
      <c r="G8" s="607"/>
      <c r="H8" s="618"/>
      <c r="I8" s="258" t="s">
        <v>123</v>
      </c>
      <c r="J8" s="258" t="s">
        <v>124</v>
      </c>
      <c r="K8" s="360">
        <v>1</v>
      </c>
      <c r="L8" s="360">
        <v>2</v>
      </c>
      <c r="M8" s="360">
        <v>3</v>
      </c>
      <c r="N8" s="360">
        <v>4</v>
      </c>
      <c r="O8" s="360" t="s">
        <v>2</v>
      </c>
      <c r="P8" s="493"/>
      <c r="Q8" s="258" t="s">
        <v>9</v>
      </c>
      <c r="R8" s="258" t="s">
        <v>22</v>
      </c>
      <c r="S8" s="258" t="s">
        <v>121</v>
      </c>
      <c r="T8" s="431" t="s">
        <v>21</v>
      </c>
      <c r="U8" s="431" t="s">
        <v>143</v>
      </c>
      <c r="V8" s="431" t="s">
        <v>144</v>
      </c>
      <c r="W8" s="361" t="s">
        <v>24</v>
      </c>
      <c r="X8" s="361" t="s">
        <v>9</v>
      </c>
      <c r="Y8" s="623"/>
    </row>
    <row r="9" spans="1:52" s="25" customFormat="1" ht="23.25" customHeight="1">
      <c r="A9" s="362" t="s">
        <v>5</v>
      </c>
      <c r="B9" s="363">
        <v>7</v>
      </c>
      <c r="C9" s="122">
        <f>0+7+0</f>
        <v>7</v>
      </c>
      <c r="D9" s="4"/>
      <c r="E9" s="122">
        <f t="shared" ref="E9:E15" si="0">SUM(C9:D9)</f>
        <v>7</v>
      </c>
      <c r="F9" s="364">
        <f>C9</f>
        <v>7</v>
      </c>
      <c r="G9" s="444">
        <v>7</v>
      </c>
      <c r="H9" s="365">
        <f t="shared" ref="H9:H16" si="1">G9*100/F9</f>
        <v>100</v>
      </c>
      <c r="I9" s="365"/>
      <c r="J9" s="365"/>
      <c r="K9" s="366">
        <f>0+7+0</f>
        <v>7</v>
      </c>
      <c r="L9" s="366">
        <f>7+0+0</f>
        <v>7</v>
      </c>
      <c r="M9" s="366">
        <f>7+0+0</f>
        <v>7</v>
      </c>
      <c r="N9" s="366">
        <f>7+0+0</f>
        <v>7</v>
      </c>
      <c r="O9" s="122">
        <f>SUM(K9:N9)</f>
        <v>28</v>
      </c>
      <c r="P9" s="367">
        <f>K9+7</f>
        <v>14</v>
      </c>
      <c r="Q9" s="447">
        <v>7</v>
      </c>
      <c r="R9" s="448">
        <v>14</v>
      </c>
      <c r="S9" s="449">
        <f t="shared" ref="S9:S16" si="2">R9*100/P9</f>
        <v>100</v>
      </c>
      <c r="T9" s="365">
        <v>4</v>
      </c>
      <c r="U9" s="365"/>
      <c r="V9" s="365">
        <v>3</v>
      </c>
      <c r="W9" s="368"/>
      <c r="X9" s="369"/>
      <c r="Y9" s="412"/>
    </row>
    <row r="10" spans="1:52" s="25" customFormat="1" ht="23.25" customHeight="1">
      <c r="A10" s="118" t="s">
        <v>68</v>
      </c>
      <c r="B10" s="370">
        <v>7</v>
      </c>
      <c r="C10" s="371">
        <f>0+0+7</f>
        <v>7</v>
      </c>
      <c r="D10" s="372"/>
      <c r="E10" s="371">
        <f t="shared" si="0"/>
        <v>7</v>
      </c>
      <c r="F10" s="373">
        <f>C10</f>
        <v>7</v>
      </c>
      <c r="G10" s="445">
        <v>7</v>
      </c>
      <c r="H10" s="374">
        <f t="shared" si="1"/>
        <v>100</v>
      </c>
      <c r="I10" s="374"/>
      <c r="J10" s="374"/>
      <c r="K10" s="5">
        <f>0+0+7</f>
        <v>7</v>
      </c>
      <c r="L10" s="5">
        <f>0+0+7</f>
        <v>7</v>
      </c>
      <c r="M10" s="5">
        <f>0+0+7</f>
        <v>7</v>
      </c>
      <c r="N10" s="5">
        <f>0+0+7</f>
        <v>7</v>
      </c>
      <c r="O10" s="371">
        <f>SUM(K10:N10)</f>
        <v>28</v>
      </c>
      <c r="P10" s="375">
        <f>K10</f>
        <v>7</v>
      </c>
      <c r="Q10" s="461">
        <v>7</v>
      </c>
      <c r="R10" s="462">
        <v>7</v>
      </c>
      <c r="S10" s="374">
        <f t="shared" si="2"/>
        <v>100</v>
      </c>
      <c r="T10" s="374"/>
      <c r="U10" s="374"/>
      <c r="V10" s="374">
        <v>7</v>
      </c>
      <c r="W10" s="376"/>
      <c r="X10" s="377"/>
      <c r="Y10" s="378"/>
      <c r="AY10" s="25">
        <f>SUM(AT10:AV10)</f>
        <v>0</v>
      </c>
    </row>
    <row r="11" spans="1:52" s="25" customFormat="1" ht="23.25" customHeight="1">
      <c r="A11" s="379" t="s">
        <v>69</v>
      </c>
      <c r="B11" s="380">
        <v>1</v>
      </c>
      <c r="C11" s="381">
        <f>0+1+0</f>
        <v>1</v>
      </c>
      <c r="D11" s="382"/>
      <c r="E11" s="371">
        <f t="shared" si="0"/>
        <v>1</v>
      </c>
      <c r="F11" s="373">
        <f t="shared" ref="F11:F15" si="3">C11</f>
        <v>1</v>
      </c>
      <c r="G11" s="445">
        <v>1</v>
      </c>
      <c r="H11" s="374">
        <f t="shared" si="1"/>
        <v>100</v>
      </c>
      <c r="I11" s="374"/>
      <c r="J11" s="374"/>
      <c r="K11" s="383">
        <f>0+0+1</f>
        <v>1</v>
      </c>
      <c r="L11" s="383">
        <f>0+0+1</f>
        <v>1</v>
      </c>
      <c r="M11" s="383">
        <f>0+0+1</f>
        <v>1</v>
      </c>
      <c r="N11" s="383">
        <f>0+1+0</f>
        <v>1</v>
      </c>
      <c r="O11" s="381">
        <f>SUM(K11:N11)</f>
        <v>4</v>
      </c>
      <c r="P11" s="375">
        <f t="shared" ref="P11:P15" si="4">K11</f>
        <v>1</v>
      </c>
      <c r="Q11" s="450">
        <v>1</v>
      </c>
      <c r="R11" s="451">
        <v>1</v>
      </c>
      <c r="S11" s="452">
        <f t="shared" si="2"/>
        <v>100</v>
      </c>
      <c r="T11" s="374"/>
      <c r="U11" s="374"/>
      <c r="V11" s="374">
        <v>1</v>
      </c>
      <c r="W11" s="385"/>
      <c r="X11" s="385"/>
      <c r="Y11" s="385"/>
      <c r="AQ11" s="25">
        <f>SUM(AL11:AN11)</f>
        <v>0</v>
      </c>
      <c r="AR11" s="384"/>
      <c r="AY11" s="25">
        <f>SUM(AT11:AV11)</f>
        <v>0</v>
      </c>
      <c r="AZ11" s="384"/>
    </row>
    <row r="12" spans="1:52" s="25" customFormat="1" ht="23.25" customHeight="1">
      <c r="A12" s="379" t="s">
        <v>6</v>
      </c>
      <c r="B12" s="380">
        <v>7</v>
      </c>
      <c r="C12" s="381">
        <f>0+7+0</f>
        <v>7</v>
      </c>
      <c r="D12" s="382"/>
      <c r="E12" s="371">
        <f t="shared" si="0"/>
        <v>7</v>
      </c>
      <c r="F12" s="373">
        <f t="shared" si="3"/>
        <v>7</v>
      </c>
      <c r="G12" s="445">
        <v>7</v>
      </c>
      <c r="H12" s="374">
        <f t="shared" si="1"/>
        <v>100</v>
      </c>
      <c r="I12" s="374"/>
      <c r="J12" s="374"/>
      <c r="K12" s="383">
        <f>0+4+3</f>
        <v>7</v>
      </c>
      <c r="L12" s="383">
        <f>3+2+2</f>
        <v>7</v>
      </c>
      <c r="M12" s="383">
        <f>3+2+2</f>
        <v>7</v>
      </c>
      <c r="N12" s="383">
        <f>3+2+2</f>
        <v>7</v>
      </c>
      <c r="O12" s="381">
        <f t="shared" ref="O12:O15" si="5">SUM(K12:N12)</f>
        <v>28</v>
      </c>
      <c r="P12" s="375">
        <f>K12+3</f>
        <v>10</v>
      </c>
      <c r="Q12" s="461">
        <v>7</v>
      </c>
      <c r="R12" s="462">
        <v>10</v>
      </c>
      <c r="S12" s="374">
        <f t="shared" si="2"/>
        <v>100</v>
      </c>
      <c r="T12" s="374">
        <v>3</v>
      </c>
      <c r="U12" s="374"/>
      <c r="V12" s="374">
        <v>4</v>
      </c>
      <c r="W12" s="376"/>
      <c r="X12" s="385"/>
      <c r="Y12" s="413"/>
      <c r="AQ12" s="25">
        <f>SUM(AL12:AN12)</f>
        <v>0</v>
      </c>
      <c r="AR12" s="384"/>
      <c r="AY12" s="25">
        <f>SUM(AT12:AV12)</f>
        <v>0</v>
      </c>
      <c r="AZ12" s="384"/>
    </row>
    <row r="13" spans="1:52" s="25" customFormat="1" ht="23.25" customHeight="1">
      <c r="A13" s="379" t="s">
        <v>70</v>
      </c>
      <c r="B13" s="380">
        <v>1</v>
      </c>
      <c r="C13" s="381">
        <f>0+1+0</f>
        <v>1</v>
      </c>
      <c r="D13" s="382"/>
      <c r="E13" s="371">
        <f t="shared" si="0"/>
        <v>1</v>
      </c>
      <c r="F13" s="373">
        <f t="shared" si="3"/>
        <v>1</v>
      </c>
      <c r="G13" s="445">
        <v>1</v>
      </c>
      <c r="H13" s="374">
        <f t="shared" si="1"/>
        <v>100</v>
      </c>
      <c r="I13" s="374"/>
      <c r="J13" s="374"/>
      <c r="K13" s="383">
        <f>0+1+0</f>
        <v>1</v>
      </c>
      <c r="L13" s="383">
        <f>0+0+1</f>
        <v>1</v>
      </c>
      <c r="M13" s="383">
        <f>0+1+0</f>
        <v>1</v>
      </c>
      <c r="N13" s="383">
        <f>0+1+0</f>
        <v>1</v>
      </c>
      <c r="O13" s="381">
        <f t="shared" si="5"/>
        <v>4</v>
      </c>
      <c r="P13" s="375">
        <f t="shared" si="4"/>
        <v>1</v>
      </c>
      <c r="Q13" s="450">
        <v>1</v>
      </c>
      <c r="R13" s="451">
        <v>1</v>
      </c>
      <c r="S13" s="452">
        <f t="shared" si="2"/>
        <v>100</v>
      </c>
      <c r="T13" s="374"/>
      <c r="U13" s="374"/>
      <c r="V13" s="374">
        <v>1</v>
      </c>
      <c r="W13" s="376"/>
      <c r="X13" s="385"/>
      <c r="Y13" s="385"/>
    </row>
    <row r="14" spans="1:52" s="25" customFormat="1" ht="23.25" customHeight="1">
      <c r="A14" s="379" t="s">
        <v>65</v>
      </c>
      <c r="B14" s="380">
        <v>1</v>
      </c>
      <c r="C14" s="381">
        <f>0+0+1</f>
        <v>1</v>
      </c>
      <c r="D14" s="382"/>
      <c r="E14" s="371">
        <f t="shared" si="0"/>
        <v>1</v>
      </c>
      <c r="F14" s="373">
        <f t="shared" si="3"/>
        <v>1</v>
      </c>
      <c r="G14" s="445">
        <v>1</v>
      </c>
      <c r="H14" s="374">
        <f t="shared" si="1"/>
        <v>100</v>
      </c>
      <c r="I14" s="374"/>
      <c r="J14" s="374"/>
      <c r="K14" s="383">
        <f>0+0+1</f>
        <v>1</v>
      </c>
      <c r="L14" s="383">
        <f>0+1+0</f>
        <v>1</v>
      </c>
      <c r="M14" s="383">
        <f>0+1+0</f>
        <v>1</v>
      </c>
      <c r="N14" s="383">
        <f>1+0+0</f>
        <v>1</v>
      </c>
      <c r="O14" s="381">
        <f t="shared" si="5"/>
        <v>4</v>
      </c>
      <c r="P14" s="375">
        <f t="shared" si="4"/>
        <v>1</v>
      </c>
      <c r="Q14" s="450">
        <v>1</v>
      </c>
      <c r="R14" s="451">
        <v>1</v>
      </c>
      <c r="S14" s="452">
        <f t="shared" si="2"/>
        <v>100</v>
      </c>
      <c r="T14" s="374"/>
      <c r="U14" s="374"/>
      <c r="V14" s="374">
        <v>1</v>
      </c>
      <c r="W14" s="376"/>
      <c r="X14" s="385"/>
      <c r="Y14" s="413"/>
      <c r="AQ14" s="25">
        <f>SUM(AL14:AN14)</f>
        <v>0</v>
      </c>
      <c r="AY14" s="25">
        <f>SUM(AT14:AV14)</f>
        <v>0</v>
      </c>
    </row>
    <row r="15" spans="1:52" s="25" customFormat="1" ht="23.25" customHeight="1">
      <c r="A15" s="386" t="s">
        <v>7</v>
      </c>
      <c r="B15" s="387">
        <v>7</v>
      </c>
      <c r="C15" s="388">
        <f>0+7+0</f>
        <v>7</v>
      </c>
      <c r="D15" s="389"/>
      <c r="E15" s="390">
        <f t="shared" si="0"/>
        <v>7</v>
      </c>
      <c r="F15" s="391">
        <f t="shared" si="3"/>
        <v>7</v>
      </c>
      <c r="G15" s="446">
        <v>7</v>
      </c>
      <c r="H15" s="392">
        <f t="shared" si="1"/>
        <v>100</v>
      </c>
      <c r="I15" s="392"/>
      <c r="J15" s="392"/>
      <c r="K15" s="393">
        <f>0+5+2</f>
        <v>7</v>
      </c>
      <c r="L15" s="393">
        <f>3+4+0</f>
        <v>7</v>
      </c>
      <c r="M15" s="393">
        <f>3+2+2</f>
        <v>7</v>
      </c>
      <c r="N15" s="393">
        <f>0+7+0</f>
        <v>7</v>
      </c>
      <c r="O15" s="388">
        <f t="shared" si="5"/>
        <v>28</v>
      </c>
      <c r="P15" s="391">
        <f>K15+3</f>
        <v>10</v>
      </c>
      <c r="Q15" s="392">
        <v>7</v>
      </c>
      <c r="R15" s="463">
        <v>10</v>
      </c>
      <c r="S15" s="392">
        <f t="shared" si="2"/>
        <v>100</v>
      </c>
      <c r="T15" s="392">
        <v>3</v>
      </c>
      <c r="U15" s="392"/>
      <c r="V15" s="392">
        <v>4</v>
      </c>
      <c r="W15" s="394"/>
      <c r="X15" s="395"/>
      <c r="Y15" s="414"/>
      <c r="AQ15" s="25">
        <f t="shared" ref="AQ15:AQ16" si="6">SUM(AL15:AN15)</f>
        <v>0</v>
      </c>
      <c r="AR15" s="384"/>
      <c r="AY15" s="25">
        <f t="shared" ref="AY15:AY16" si="7">SUM(AT15:AV15)</f>
        <v>0</v>
      </c>
      <c r="AZ15" s="384"/>
    </row>
    <row r="16" spans="1:52" s="25" customFormat="1" ht="27.75" customHeight="1">
      <c r="A16" s="119" t="s">
        <v>4</v>
      </c>
      <c r="B16" s="396">
        <f>SUM(B9:B15)</f>
        <v>31</v>
      </c>
      <c r="C16" s="397">
        <f t="shared" ref="C16:F16" si="8">SUM(C9:C15)</f>
        <v>31</v>
      </c>
      <c r="D16" s="397"/>
      <c r="E16" s="397">
        <f t="shared" si="8"/>
        <v>31</v>
      </c>
      <c r="F16" s="398">
        <f t="shared" si="8"/>
        <v>31</v>
      </c>
      <c r="G16" s="399">
        <f>SUM(G9:G15)</f>
        <v>31</v>
      </c>
      <c r="H16" s="399">
        <f t="shared" si="1"/>
        <v>100</v>
      </c>
      <c r="I16" s="399"/>
      <c r="J16" s="399"/>
      <c r="K16" s="397">
        <f t="shared" ref="K16:O16" si="9">SUM(K9:K15)</f>
        <v>31</v>
      </c>
      <c r="L16" s="397">
        <f t="shared" si="9"/>
        <v>31</v>
      </c>
      <c r="M16" s="397">
        <f t="shared" si="9"/>
        <v>31</v>
      </c>
      <c r="N16" s="397">
        <f t="shared" si="9"/>
        <v>31</v>
      </c>
      <c r="O16" s="397">
        <f t="shared" si="9"/>
        <v>124</v>
      </c>
      <c r="P16" s="398">
        <f>SUM(P9:P15)</f>
        <v>44</v>
      </c>
      <c r="Q16" s="399">
        <f>SUM(Q9:Q15)</f>
        <v>31</v>
      </c>
      <c r="R16" s="399">
        <f>SUM(R9:R15)</f>
        <v>44</v>
      </c>
      <c r="S16" s="399">
        <f t="shared" si="2"/>
        <v>100</v>
      </c>
      <c r="T16" s="399">
        <f>SUM(T9:T15)</f>
        <v>10</v>
      </c>
      <c r="U16" s="399">
        <f t="shared" ref="U16:V16" si="10">SUM(U9:U15)</f>
        <v>0</v>
      </c>
      <c r="V16" s="399">
        <f t="shared" si="10"/>
        <v>21</v>
      </c>
      <c r="W16" s="400"/>
      <c r="X16" s="397">
        <f t="shared" ref="X16:Y16" si="11">SUM(X9:X15)</f>
        <v>0</v>
      </c>
      <c r="Y16" s="397">
        <f t="shared" si="11"/>
        <v>0</v>
      </c>
      <c r="AQ16" s="401">
        <f t="shared" si="6"/>
        <v>0</v>
      </c>
      <c r="AR16" s="384"/>
      <c r="AY16" s="401">
        <f t="shared" si="7"/>
        <v>0</v>
      </c>
      <c r="AZ16" s="384"/>
    </row>
    <row r="17" spans="1:28" ht="14.25">
      <c r="A17" s="114"/>
      <c r="B17" s="114"/>
    </row>
    <row r="18" spans="1:28" ht="14.25">
      <c r="A18" s="256"/>
      <c r="B18" s="256"/>
      <c r="K18" s="144"/>
      <c r="L18" s="144"/>
      <c r="M18" s="25"/>
    </row>
    <row r="19" spans="1:28" ht="14.25">
      <c r="C19" s="476"/>
      <c r="D19" s="476"/>
      <c r="M19" s="224"/>
    </row>
    <row r="20" spans="1:28" s="25" customFormat="1" ht="15" thickBot="1">
      <c r="C20" s="120"/>
      <c r="D20" s="402"/>
      <c r="E20" s="152"/>
      <c r="F20" s="152"/>
      <c r="G20" s="152"/>
    </row>
    <row r="21" spans="1:28" ht="14.25">
      <c r="A21" s="256"/>
      <c r="B21" s="417" t="s">
        <v>28</v>
      </c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04"/>
      <c r="V21" s="286"/>
      <c r="W21" s="286"/>
      <c r="X21" s="286"/>
      <c r="Y21" s="286"/>
      <c r="Z21" s="286"/>
      <c r="AA21" s="286"/>
      <c r="AB21" s="286"/>
    </row>
    <row r="22" spans="1:28" ht="16.5" customHeight="1">
      <c r="B22" s="415" t="s">
        <v>8</v>
      </c>
      <c r="C22" s="279" t="s">
        <v>127</v>
      </c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 t="s">
        <v>89</v>
      </c>
      <c r="S22" s="279"/>
      <c r="T22" s="279"/>
      <c r="U22" s="404"/>
      <c r="V22" s="286"/>
      <c r="W22" s="286"/>
      <c r="X22" s="286"/>
      <c r="Y22" s="286"/>
      <c r="Z22" s="286"/>
      <c r="AA22" s="286"/>
      <c r="AB22" s="286"/>
    </row>
    <row r="23" spans="1:28" ht="16.5" customHeight="1">
      <c r="B23" s="312"/>
      <c r="C23" s="279" t="s">
        <v>128</v>
      </c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 t="s">
        <v>51</v>
      </c>
      <c r="S23" s="279"/>
      <c r="T23" s="279"/>
      <c r="U23" s="404"/>
      <c r="V23" s="286"/>
      <c r="W23" s="286"/>
      <c r="X23" s="286"/>
      <c r="Y23" s="286"/>
      <c r="Z23" s="286"/>
      <c r="AA23" s="286"/>
      <c r="AB23" s="286"/>
    </row>
    <row r="24" spans="1:28" ht="16.5" customHeight="1">
      <c r="B24" s="312"/>
      <c r="C24" s="279" t="s">
        <v>129</v>
      </c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 t="s">
        <v>52</v>
      </c>
      <c r="S24" s="279"/>
      <c r="T24" s="279"/>
      <c r="U24" s="404"/>
      <c r="V24" s="286"/>
      <c r="W24" s="286"/>
      <c r="X24" s="286"/>
      <c r="Y24" s="286"/>
      <c r="Z24" s="286"/>
      <c r="AA24" s="286"/>
      <c r="AB24" s="286"/>
    </row>
    <row r="25" spans="1:28" ht="16.5" customHeight="1">
      <c r="B25" s="312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404"/>
      <c r="V25" s="286"/>
      <c r="W25" s="286"/>
      <c r="X25" s="286"/>
      <c r="Y25" s="286"/>
      <c r="Z25" s="286"/>
      <c r="AA25" s="286"/>
      <c r="AB25" s="286"/>
    </row>
    <row r="26" spans="1:28" ht="16.5" customHeight="1">
      <c r="B26" s="415" t="s">
        <v>23</v>
      </c>
      <c r="C26" s="279" t="s">
        <v>130</v>
      </c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 t="s">
        <v>53</v>
      </c>
      <c r="S26" s="279"/>
      <c r="T26" s="279"/>
      <c r="U26" s="404"/>
      <c r="V26" s="286"/>
      <c r="W26" s="286"/>
      <c r="X26" s="286"/>
      <c r="Y26" s="286"/>
      <c r="Z26" s="286"/>
      <c r="AA26" s="286"/>
      <c r="AB26" s="286"/>
    </row>
    <row r="27" spans="1:28" ht="16.5" customHeight="1" thickBot="1">
      <c r="B27" s="313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404"/>
      <c r="V27" s="286"/>
      <c r="W27" s="286"/>
      <c r="X27" s="286"/>
      <c r="Y27" s="286"/>
      <c r="Z27" s="286"/>
      <c r="AA27" s="286"/>
      <c r="AB27" s="286"/>
    </row>
    <row r="28" spans="1:28" s="25" customFormat="1" ht="14.25">
      <c r="A28" s="405"/>
      <c r="B28" s="405"/>
      <c r="C28" s="175"/>
      <c r="D28" s="117"/>
      <c r="E28" s="117"/>
      <c r="F28" s="406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8" s="25" customFormat="1" ht="14.25">
      <c r="A29" s="117"/>
      <c r="B29" s="117"/>
      <c r="C29" s="117"/>
      <c r="D29" s="407"/>
      <c r="E29" s="117"/>
      <c r="F29" s="406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8" s="25" customFormat="1" ht="14.25">
      <c r="A30" s="408"/>
      <c r="B30" s="408"/>
      <c r="C30" s="117"/>
      <c r="D30" s="409"/>
      <c r="E30" s="410"/>
      <c r="F30" s="117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</row>
    <row r="31" spans="1:28" s="25" customFormat="1" ht="14.25">
      <c r="A31" s="410"/>
      <c r="B31" s="410"/>
      <c r="C31" s="117"/>
      <c r="D31" s="410"/>
      <c r="E31" s="410" t="s">
        <v>20</v>
      </c>
      <c r="F31" s="406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</row>
    <row r="32" spans="1:28" s="25" customFormat="1" ht="14.25">
      <c r="A32" s="410"/>
      <c r="B32" s="410"/>
      <c r="C32" s="117"/>
      <c r="D32" s="410"/>
      <c r="E32" s="410"/>
      <c r="F32" s="406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</row>
    <row r="33" spans="1:22" s="25" customFormat="1" ht="14.25">
      <c r="A33" s="408"/>
      <c r="B33" s="408"/>
      <c r="C33" s="117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</row>
    <row r="34" spans="1:22" s="25" customFormat="1" ht="14.25">
      <c r="A34" s="410"/>
      <c r="B34" s="410"/>
      <c r="C34" s="411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</row>
    <row r="35" spans="1:22" ht="14.25">
      <c r="A35" s="410"/>
      <c r="B35" s="410"/>
      <c r="C35" s="117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</row>
    <row r="36" spans="1:22" ht="14.25">
      <c r="A36" s="410"/>
      <c r="B36" s="410"/>
      <c r="C36" s="117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</row>
    <row r="37" spans="1:22" ht="14.25">
      <c r="A37" s="410"/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</row>
    <row r="38" spans="1:22" ht="14.25"/>
    <row r="39" spans="1:22" ht="14.25"/>
    <row r="40" spans="1:22" ht="14.25"/>
    <row r="41" spans="1:22" ht="14.25"/>
    <row r="42" spans="1:22" ht="14.25"/>
    <row r="43" spans="1:22" ht="14.25"/>
    <row r="44" spans="1:22" ht="14.25"/>
    <row r="45" spans="1:22" ht="14.25"/>
    <row r="46" spans="1:22" ht="14.25"/>
    <row r="47" spans="1:22" ht="14.25"/>
  </sheetData>
  <mergeCells count="24">
    <mergeCell ref="W6:X7"/>
    <mergeCell ref="Y6:Y8"/>
    <mergeCell ref="P7:P8"/>
    <mergeCell ref="A1:Y1"/>
    <mergeCell ref="A2:Y2"/>
    <mergeCell ref="A4:A8"/>
    <mergeCell ref="B4:B8"/>
    <mergeCell ref="C4:J5"/>
    <mergeCell ref="K4:S5"/>
    <mergeCell ref="W4:Y4"/>
    <mergeCell ref="W5:Y5"/>
    <mergeCell ref="C6:F6"/>
    <mergeCell ref="I7:J7"/>
    <mergeCell ref="K7:O7"/>
    <mergeCell ref="G6:J6"/>
    <mergeCell ref="K6:P6"/>
    <mergeCell ref="Q6:S7"/>
    <mergeCell ref="T4:V5"/>
    <mergeCell ref="T6:V7"/>
    <mergeCell ref="C19:D19"/>
    <mergeCell ref="C7:E7"/>
    <mergeCell ref="F7:F8"/>
    <mergeCell ref="G7:G8"/>
    <mergeCell ref="H7:H8"/>
  </mergeCells>
  <printOptions horizontalCentered="1"/>
  <pageMargins left="0.11811023622047245" right="0.11811023622047245" top="0" bottom="0" header="0.31496062992125984" footer="0.31496062992125984"/>
  <pageSetup paperSize="9" scale="85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50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Z21" sqref="Z21"/>
    </sheetView>
  </sheetViews>
  <sheetFormatPr defaultRowHeight="27.75" customHeight="1"/>
  <cols>
    <col min="1" max="1" width="10.5703125" style="136" customWidth="1"/>
    <col min="2" max="2" width="8.7109375" style="136" customWidth="1"/>
    <col min="3" max="7" width="5.5703125" style="136" customWidth="1"/>
    <col min="8" max="8" width="6.7109375" style="136" customWidth="1"/>
    <col min="9" max="10" width="5.28515625" style="136" customWidth="1"/>
    <col min="11" max="11" width="5.85546875" style="136" customWidth="1"/>
    <col min="12" max="12" width="4.85546875" style="136" customWidth="1"/>
    <col min="13" max="13" width="6" style="136" customWidth="1"/>
    <col min="14" max="14" width="5.5703125" style="136" customWidth="1"/>
    <col min="15" max="19" width="5.28515625" style="136" customWidth="1"/>
    <col min="20" max="20" width="7.28515625" style="136" customWidth="1"/>
    <col min="21" max="21" width="6.7109375" style="136" customWidth="1"/>
    <col min="22" max="22" width="7" style="136" customWidth="1"/>
    <col min="23" max="23" width="8.28515625" style="136" customWidth="1"/>
    <col min="24" max="24" width="6.5703125" style="136" customWidth="1"/>
    <col min="25" max="25" width="9.42578125" style="136" customWidth="1"/>
    <col min="26" max="26" width="6.140625" style="136" customWidth="1"/>
    <col min="27" max="27" width="9.85546875" style="136" customWidth="1"/>
    <col min="28" max="28" width="9.140625" style="136" customWidth="1"/>
    <col min="29" max="29" width="10.85546875" style="136" customWidth="1"/>
    <col min="30" max="30" width="12.5703125" style="136" customWidth="1"/>
    <col min="31" max="31" width="11.7109375" style="136" customWidth="1"/>
    <col min="32" max="32" width="5.28515625" style="136" customWidth="1"/>
    <col min="33" max="16384" width="9.140625" style="136"/>
  </cols>
  <sheetData>
    <row r="1" spans="1:58" ht="22.5" customHeight="1">
      <c r="A1" s="476" t="str">
        <f>'(PC-RC1)_อบรมผู้ตรวจสอบกิจการ'!A1:AB1</f>
        <v>รายละเอียดแผนการปฏิบัติงานและความก้าวหน้าผลการปฏิบัติงาน ณ วันที่  31  มกราคม 2559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113"/>
      <c r="AD1" s="113"/>
      <c r="AE1" s="113"/>
      <c r="AF1" s="113"/>
    </row>
    <row r="2" spans="1:58" ht="22.5" customHeight="1">
      <c r="A2" s="476" t="s">
        <v>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113"/>
      <c r="AD2" s="113"/>
      <c r="AE2" s="113"/>
      <c r="AF2" s="113"/>
    </row>
    <row r="3" spans="1:58" s="25" customFormat="1" ht="22.5" customHeight="1">
      <c r="A3" s="161" t="s">
        <v>131</v>
      </c>
      <c r="B3" s="114"/>
      <c r="C3" s="114"/>
    </row>
    <row r="4" spans="1:58" s="25" customFormat="1" ht="34.5" customHeight="1">
      <c r="A4" s="624" t="s">
        <v>8</v>
      </c>
      <c r="B4" s="636" t="s">
        <v>134</v>
      </c>
      <c r="C4" s="609" t="s">
        <v>132</v>
      </c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1"/>
      <c r="O4" s="609" t="s">
        <v>133</v>
      </c>
      <c r="P4" s="610"/>
      <c r="Q4" s="610"/>
      <c r="R4" s="610"/>
      <c r="S4" s="610"/>
      <c r="T4" s="610"/>
      <c r="U4" s="610"/>
      <c r="V4" s="610"/>
      <c r="W4" s="611"/>
      <c r="X4" s="609" t="s">
        <v>147</v>
      </c>
      <c r="Y4" s="610"/>
      <c r="Z4" s="610"/>
      <c r="AA4" s="610"/>
      <c r="AB4" s="611"/>
      <c r="AC4" s="630" t="s">
        <v>119</v>
      </c>
      <c r="AD4" s="631"/>
      <c r="AE4" s="632"/>
      <c r="AG4" s="224" t="s">
        <v>145</v>
      </c>
    </row>
    <row r="5" spans="1:58" s="25" customFormat="1" ht="21.75" customHeight="1">
      <c r="A5" s="625"/>
      <c r="B5" s="637"/>
      <c r="C5" s="612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4"/>
      <c r="O5" s="612"/>
      <c r="P5" s="613"/>
      <c r="Q5" s="613"/>
      <c r="R5" s="613"/>
      <c r="S5" s="613"/>
      <c r="T5" s="613"/>
      <c r="U5" s="613"/>
      <c r="V5" s="613"/>
      <c r="W5" s="614"/>
      <c r="X5" s="612"/>
      <c r="Y5" s="613"/>
      <c r="Z5" s="613"/>
      <c r="AA5" s="613"/>
      <c r="AB5" s="614"/>
      <c r="AC5" s="633" t="s">
        <v>120</v>
      </c>
      <c r="AD5" s="634"/>
      <c r="AE5" s="635"/>
    </row>
    <row r="6" spans="1:58" s="25" customFormat="1" ht="33.75" customHeight="1">
      <c r="A6" s="625"/>
      <c r="B6" s="637"/>
      <c r="C6" s="615" t="s">
        <v>13</v>
      </c>
      <c r="D6" s="615"/>
      <c r="E6" s="615"/>
      <c r="F6" s="615"/>
      <c r="G6" s="615"/>
      <c r="H6" s="615"/>
      <c r="I6" s="595" t="s">
        <v>152</v>
      </c>
      <c r="J6" s="596"/>
      <c r="K6" s="596"/>
      <c r="L6" s="595" t="s">
        <v>153</v>
      </c>
      <c r="M6" s="596"/>
      <c r="N6" s="596"/>
      <c r="O6" s="615" t="s">
        <v>13</v>
      </c>
      <c r="P6" s="615"/>
      <c r="Q6" s="615"/>
      <c r="R6" s="615"/>
      <c r="S6" s="615"/>
      <c r="T6" s="615"/>
      <c r="U6" s="595" t="s">
        <v>14</v>
      </c>
      <c r="V6" s="596"/>
      <c r="W6" s="539"/>
      <c r="X6" s="595" t="s">
        <v>142</v>
      </c>
      <c r="Y6" s="596"/>
      <c r="Z6" s="539"/>
      <c r="AA6" s="641" t="s">
        <v>149</v>
      </c>
      <c r="AB6" s="642" t="s">
        <v>150</v>
      </c>
      <c r="AC6" s="619" t="s">
        <v>60</v>
      </c>
      <c r="AD6" s="620"/>
      <c r="AE6" s="623" t="s">
        <v>61</v>
      </c>
    </row>
    <row r="7" spans="1:58" s="25" customFormat="1" ht="23.25" customHeight="1">
      <c r="A7" s="625"/>
      <c r="B7" s="637"/>
      <c r="C7" s="615" t="s">
        <v>1</v>
      </c>
      <c r="D7" s="615"/>
      <c r="E7" s="615"/>
      <c r="F7" s="615"/>
      <c r="G7" s="615"/>
      <c r="H7" s="537" t="s">
        <v>19</v>
      </c>
      <c r="I7" s="616" t="s">
        <v>9</v>
      </c>
      <c r="J7" s="617" t="s">
        <v>22</v>
      </c>
      <c r="K7" s="605" t="s">
        <v>121</v>
      </c>
      <c r="L7" s="616" t="s">
        <v>9</v>
      </c>
      <c r="M7" s="617" t="s">
        <v>22</v>
      </c>
      <c r="N7" s="605" t="s">
        <v>121</v>
      </c>
      <c r="O7" s="615" t="s">
        <v>1</v>
      </c>
      <c r="P7" s="615"/>
      <c r="Q7" s="615"/>
      <c r="R7" s="615"/>
      <c r="S7" s="615"/>
      <c r="T7" s="537" t="s">
        <v>19</v>
      </c>
      <c r="U7" s="617" t="s">
        <v>9</v>
      </c>
      <c r="V7" s="617" t="s">
        <v>22</v>
      </c>
      <c r="W7" s="617" t="s">
        <v>121</v>
      </c>
      <c r="X7" s="639" t="s">
        <v>21</v>
      </c>
      <c r="Y7" s="639" t="s">
        <v>148</v>
      </c>
      <c r="Z7" s="639" t="s">
        <v>144</v>
      </c>
      <c r="AA7" s="639"/>
      <c r="AB7" s="643"/>
      <c r="AC7" s="621"/>
      <c r="AD7" s="622"/>
      <c r="AE7" s="623"/>
    </row>
    <row r="8" spans="1:58" s="25" customFormat="1" ht="23.25" customHeight="1">
      <c r="A8" s="626"/>
      <c r="B8" s="638"/>
      <c r="C8" s="360">
        <v>1</v>
      </c>
      <c r="D8" s="360">
        <v>2</v>
      </c>
      <c r="E8" s="360">
        <v>3</v>
      </c>
      <c r="F8" s="360">
        <v>4</v>
      </c>
      <c r="G8" s="360" t="s">
        <v>2</v>
      </c>
      <c r="H8" s="493"/>
      <c r="I8" s="607"/>
      <c r="J8" s="618"/>
      <c r="K8" s="607"/>
      <c r="L8" s="607"/>
      <c r="M8" s="618"/>
      <c r="N8" s="607"/>
      <c r="O8" s="360">
        <v>1</v>
      </c>
      <c r="P8" s="360">
        <v>2</v>
      </c>
      <c r="Q8" s="360">
        <v>3</v>
      </c>
      <c r="R8" s="360">
        <v>4</v>
      </c>
      <c r="S8" s="360" t="s">
        <v>2</v>
      </c>
      <c r="T8" s="493"/>
      <c r="U8" s="618"/>
      <c r="V8" s="618"/>
      <c r="W8" s="618"/>
      <c r="X8" s="640"/>
      <c r="Y8" s="640"/>
      <c r="Z8" s="640"/>
      <c r="AA8" s="640"/>
      <c r="AB8" s="644"/>
      <c r="AC8" s="361" t="s">
        <v>24</v>
      </c>
      <c r="AD8" s="361" t="s">
        <v>9</v>
      </c>
      <c r="AE8" s="623"/>
    </row>
    <row r="9" spans="1:58" s="25" customFormat="1" ht="23.25" customHeight="1">
      <c r="A9" s="362" t="s">
        <v>5</v>
      </c>
      <c r="B9" s="419">
        <v>3</v>
      </c>
      <c r="C9" s="122">
        <f>0+0+3</f>
        <v>3</v>
      </c>
      <c r="D9" s="4">
        <f>0+3+0</f>
        <v>3</v>
      </c>
      <c r="E9" s="4">
        <f>0+0+3</f>
        <v>3</v>
      </c>
      <c r="F9" s="4">
        <f>0+3+0</f>
        <v>3</v>
      </c>
      <c r="G9" s="122">
        <f>SUM(C9:F9)</f>
        <v>12</v>
      </c>
      <c r="H9" s="364">
        <f>C9</f>
        <v>3</v>
      </c>
      <c r="I9" s="464">
        <v>3</v>
      </c>
      <c r="J9" s="465">
        <v>3</v>
      </c>
      <c r="K9" s="365">
        <f t="shared" ref="K9:K16" si="0">J9*100/H9</f>
        <v>100</v>
      </c>
      <c r="L9" s="365"/>
      <c r="M9" s="365"/>
      <c r="N9" s="365"/>
      <c r="O9" s="366">
        <f t="shared" ref="O9:O15" si="1">0+0+1</f>
        <v>1</v>
      </c>
      <c r="P9" s="366">
        <f>0+1+0</f>
        <v>1</v>
      </c>
      <c r="Q9" s="366">
        <f>0+0+1</f>
        <v>1</v>
      </c>
      <c r="R9" s="366">
        <f>0+1+0</f>
        <v>1</v>
      </c>
      <c r="S9" s="122">
        <f>SUM(O9:R9)</f>
        <v>4</v>
      </c>
      <c r="T9" s="367">
        <f>O9</f>
        <v>1</v>
      </c>
      <c r="U9" s="464">
        <v>1</v>
      </c>
      <c r="V9" s="465">
        <v>1</v>
      </c>
      <c r="W9" s="365">
        <f t="shared" ref="W9:W16" si="2">V9*100/T9</f>
        <v>100</v>
      </c>
      <c r="X9" s="365">
        <v>2</v>
      </c>
      <c r="Y9" s="365"/>
      <c r="Z9" s="365"/>
      <c r="AA9" s="365">
        <v>1</v>
      </c>
      <c r="AB9" s="365"/>
      <c r="AC9" s="368"/>
      <c r="AD9" s="369"/>
      <c r="AE9" s="412"/>
    </row>
    <row r="10" spans="1:58" s="25" customFormat="1" ht="23.25" customHeight="1">
      <c r="A10" s="118" t="s">
        <v>68</v>
      </c>
      <c r="B10" s="420">
        <v>3</v>
      </c>
      <c r="C10" s="371">
        <f>0+0+3</f>
        <v>3</v>
      </c>
      <c r="D10" s="372">
        <f>0+0+3</f>
        <v>3</v>
      </c>
      <c r="E10" s="372">
        <f>0+0+3</f>
        <v>3</v>
      </c>
      <c r="F10" s="372">
        <f>0+0+3</f>
        <v>3</v>
      </c>
      <c r="G10" s="371">
        <f>SUM(C10:F10)</f>
        <v>12</v>
      </c>
      <c r="H10" s="373">
        <f>C10</f>
        <v>3</v>
      </c>
      <c r="I10" s="461">
        <v>3</v>
      </c>
      <c r="J10" s="462">
        <v>3</v>
      </c>
      <c r="K10" s="374">
        <f t="shared" si="0"/>
        <v>100</v>
      </c>
      <c r="L10" s="374"/>
      <c r="M10" s="374"/>
      <c r="N10" s="374"/>
      <c r="O10" s="5">
        <f t="shared" si="1"/>
        <v>1</v>
      </c>
      <c r="P10" s="5">
        <f>0+0+1</f>
        <v>1</v>
      </c>
      <c r="Q10" s="5">
        <f>0+0+1</f>
        <v>1</v>
      </c>
      <c r="R10" s="5">
        <f>0+0+1</f>
        <v>1</v>
      </c>
      <c r="S10" s="371">
        <f t="shared" ref="S10:S13" si="3">SUM(O10:R10)</f>
        <v>4</v>
      </c>
      <c r="T10" s="375">
        <f>O10</f>
        <v>1</v>
      </c>
      <c r="U10" s="461">
        <v>1</v>
      </c>
      <c r="V10" s="462">
        <v>1</v>
      </c>
      <c r="W10" s="374">
        <f t="shared" si="2"/>
        <v>100</v>
      </c>
      <c r="X10" s="374">
        <v>3</v>
      </c>
      <c r="Y10" s="374"/>
      <c r="Z10" s="374"/>
      <c r="AA10" s="374">
        <v>1</v>
      </c>
      <c r="AB10" s="374"/>
      <c r="AC10" s="376"/>
      <c r="AD10" s="377"/>
      <c r="AE10" s="378"/>
      <c r="BE10" s="25">
        <f>SUM(AZ10:BB10)</f>
        <v>0</v>
      </c>
    </row>
    <row r="11" spans="1:58" s="25" customFormat="1" ht="23.25" customHeight="1">
      <c r="A11" s="379" t="s">
        <v>69</v>
      </c>
      <c r="B11" s="421">
        <v>1</v>
      </c>
      <c r="C11" s="381">
        <f>0+0+1</f>
        <v>1</v>
      </c>
      <c r="D11" s="382">
        <f>0+0+1</f>
        <v>1</v>
      </c>
      <c r="E11" s="382">
        <f>0+0+1</f>
        <v>1</v>
      </c>
      <c r="F11" s="382">
        <f>0+1+0</f>
        <v>1</v>
      </c>
      <c r="G11" s="371">
        <f t="shared" ref="G11:G15" si="4">SUM(C11:F11)</f>
        <v>4</v>
      </c>
      <c r="H11" s="373">
        <f t="shared" ref="H11:H15" si="5">C11</f>
        <v>1</v>
      </c>
      <c r="I11" s="461">
        <v>1</v>
      </c>
      <c r="J11" s="462">
        <v>1</v>
      </c>
      <c r="K11" s="374">
        <f t="shared" si="0"/>
        <v>100</v>
      </c>
      <c r="L11" s="374"/>
      <c r="M11" s="374"/>
      <c r="N11" s="374"/>
      <c r="O11" s="383">
        <f t="shared" si="1"/>
        <v>1</v>
      </c>
      <c r="P11" s="383">
        <f>0+0+1</f>
        <v>1</v>
      </c>
      <c r="Q11" s="383">
        <f>0+0+1</f>
        <v>1</v>
      </c>
      <c r="R11" s="383">
        <f>0+1+0</f>
        <v>1</v>
      </c>
      <c r="S11" s="381">
        <f>SUM(O11:R11)</f>
        <v>4</v>
      </c>
      <c r="T11" s="375">
        <f t="shared" ref="T11:T15" si="6">O11</f>
        <v>1</v>
      </c>
      <c r="U11" s="461">
        <v>1</v>
      </c>
      <c r="V11" s="462">
        <v>1</v>
      </c>
      <c r="W11" s="374">
        <f t="shared" si="2"/>
        <v>100</v>
      </c>
      <c r="X11" s="374">
        <v>1</v>
      </c>
      <c r="Y11" s="374"/>
      <c r="Z11" s="374"/>
      <c r="AA11" s="452">
        <v>1</v>
      </c>
      <c r="AB11" s="374"/>
      <c r="AC11" s="385"/>
      <c r="AD11" s="385"/>
      <c r="AE11" s="385"/>
      <c r="AW11" s="25">
        <f>SUM(AR11:AT11)</f>
        <v>0</v>
      </c>
      <c r="AX11" s="384"/>
      <c r="BE11" s="25">
        <f>SUM(AZ11:BB11)</f>
        <v>0</v>
      </c>
      <c r="BF11" s="384"/>
    </row>
    <row r="12" spans="1:58" s="25" customFormat="1" ht="23.25" customHeight="1">
      <c r="A12" s="379" t="s">
        <v>6</v>
      </c>
      <c r="B12" s="421">
        <v>3</v>
      </c>
      <c r="C12" s="426">
        <f>0+3+0</f>
        <v>3</v>
      </c>
      <c r="D12" s="427">
        <f>1+1+1</f>
        <v>3</v>
      </c>
      <c r="E12" s="427">
        <f>1+1+1</f>
        <v>3</v>
      </c>
      <c r="F12" s="427">
        <f>1+1+1</f>
        <v>3</v>
      </c>
      <c r="G12" s="428">
        <f t="shared" si="4"/>
        <v>12</v>
      </c>
      <c r="H12" s="373">
        <f t="shared" si="5"/>
        <v>3</v>
      </c>
      <c r="I12" s="450">
        <v>3</v>
      </c>
      <c r="J12" s="451">
        <v>3</v>
      </c>
      <c r="K12" s="452">
        <f t="shared" si="0"/>
        <v>100</v>
      </c>
      <c r="L12" s="452">
        <v>1</v>
      </c>
      <c r="M12" s="452">
        <v>1</v>
      </c>
      <c r="N12" s="452">
        <f>M12*100/H12</f>
        <v>33.333333333333336</v>
      </c>
      <c r="O12" s="429">
        <f t="shared" si="1"/>
        <v>1</v>
      </c>
      <c r="P12" s="429">
        <f>0+1+0</f>
        <v>1</v>
      </c>
      <c r="Q12" s="429">
        <f>0+1+0</f>
        <v>1</v>
      </c>
      <c r="R12" s="429">
        <f>0+1+0</f>
        <v>1</v>
      </c>
      <c r="S12" s="428">
        <f t="shared" si="3"/>
        <v>4</v>
      </c>
      <c r="T12" s="375">
        <f t="shared" si="6"/>
        <v>1</v>
      </c>
      <c r="U12" s="461">
        <v>1</v>
      </c>
      <c r="V12" s="462">
        <v>1</v>
      </c>
      <c r="W12" s="374">
        <f t="shared" si="2"/>
        <v>100</v>
      </c>
      <c r="X12" s="374">
        <v>2</v>
      </c>
      <c r="Y12" s="374">
        <v>1</v>
      </c>
      <c r="Z12" s="374"/>
      <c r="AA12" s="374">
        <v>1</v>
      </c>
      <c r="AB12" s="374"/>
      <c r="AC12" s="376"/>
      <c r="AD12" s="385"/>
      <c r="AE12" s="413"/>
      <c r="AW12" s="25">
        <f>SUM(AR12:AT12)</f>
        <v>0</v>
      </c>
      <c r="AX12" s="384"/>
      <c r="BE12" s="25">
        <f>SUM(AZ12:BB12)</f>
        <v>0</v>
      </c>
      <c r="BF12" s="384"/>
    </row>
    <row r="13" spans="1:58" s="25" customFormat="1" ht="23.25" customHeight="1">
      <c r="A13" s="379" t="s">
        <v>70</v>
      </c>
      <c r="B13" s="421">
        <v>2</v>
      </c>
      <c r="C13" s="426">
        <f>0+0+2</f>
        <v>2</v>
      </c>
      <c r="D13" s="427">
        <f>0+0+2</f>
        <v>2</v>
      </c>
      <c r="E13" s="427">
        <f>0+2+0</f>
        <v>2</v>
      </c>
      <c r="F13" s="427">
        <f>0+2+0</f>
        <v>2</v>
      </c>
      <c r="G13" s="428">
        <f t="shared" si="4"/>
        <v>8</v>
      </c>
      <c r="H13" s="373">
        <f t="shared" si="5"/>
        <v>2</v>
      </c>
      <c r="I13" s="461">
        <v>2</v>
      </c>
      <c r="J13" s="462">
        <v>2</v>
      </c>
      <c r="K13" s="374">
        <f t="shared" si="0"/>
        <v>100</v>
      </c>
      <c r="L13" s="374"/>
      <c r="M13" s="374"/>
      <c r="N13" s="374"/>
      <c r="O13" s="429">
        <f t="shared" si="1"/>
        <v>1</v>
      </c>
      <c r="P13" s="429">
        <f>0+0+1</f>
        <v>1</v>
      </c>
      <c r="Q13" s="429">
        <f>0+1+0</f>
        <v>1</v>
      </c>
      <c r="R13" s="429">
        <f>0+1+0</f>
        <v>1</v>
      </c>
      <c r="S13" s="428">
        <f t="shared" si="3"/>
        <v>4</v>
      </c>
      <c r="T13" s="375">
        <f t="shared" si="6"/>
        <v>1</v>
      </c>
      <c r="U13" s="450">
        <v>1</v>
      </c>
      <c r="V13" s="451">
        <v>1</v>
      </c>
      <c r="W13" s="452">
        <f t="shared" si="2"/>
        <v>100</v>
      </c>
      <c r="X13" s="452"/>
      <c r="Y13" s="452">
        <v>1</v>
      </c>
      <c r="Z13" s="452">
        <v>2</v>
      </c>
      <c r="AA13" s="452">
        <v>1</v>
      </c>
      <c r="AB13" s="452"/>
      <c r="AC13" s="376"/>
      <c r="AD13" s="385"/>
      <c r="AE13" s="385"/>
    </row>
    <row r="14" spans="1:58" s="25" customFormat="1" ht="23.25" customHeight="1">
      <c r="A14" s="379" t="s">
        <v>65</v>
      </c>
      <c r="B14" s="421">
        <v>2</v>
      </c>
      <c r="C14" s="381">
        <f>0+1+1</f>
        <v>2</v>
      </c>
      <c r="D14" s="382">
        <f>0+1+1</f>
        <v>2</v>
      </c>
      <c r="E14" s="382">
        <f>0+1+1</f>
        <v>2</v>
      </c>
      <c r="F14" s="382">
        <f>1+1+0</f>
        <v>2</v>
      </c>
      <c r="G14" s="371">
        <f t="shared" si="4"/>
        <v>8</v>
      </c>
      <c r="H14" s="373">
        <f t="shared" si="5"/>
        <v>2</v>
      </c>
      <c r="I14" s="461">
        <v>2</v>
      </c>
      <c r="J14" s="462">
        <v>2</v>
      </c>
      <c r="K14" s="374">
        <f t="shared" si="0"/>
        <v>100</v>
      </c>
      <c r="L14" s="374"/>
      <c r="M14" s="374"/>
      <c r="N14" s="374"/>
      <c r="O14" s="383">
        <f t="shared" si="1"/>
        <v>1</v>
      </c>
      <c r="P14" s="383">
        <f>0+0+1</f>
        <v>1</v>
      </c>
      <c r="Q14" s="383">
        <f>0+0+1</f>
        <v>1</v>
      </c>
      <c r="R14" s="383">
        <f>0+0+1</f>
        <v>1</v>
      </c>
      <c r="S14" s="381">
        <f t="shared" ref="S14:S15" si="7">SUM(O14:R14)</f>
        <v>4</v>
      </c>
      <c r="T14" s="375">
        <f t="shared" si="6"/>
        <v>1</v>
      </c>
      <c r="U14" s="450">
        <v>1</v>
      </c>
      <c r="V14" s="451">
        <v>1</v>
      </c>
      <c r="W14" s="452">
        <f t="shared" si="2"/>
        <v>100</v>
      </c>
      <c r="X14" s="452">
        <v>1</v>
      </c>
      <c r="Y14" s="452"/>
      <c r="Z14" s="452"/>
      <c r="AA14" s="452">
        <v>1</v>
      </c>
      <c r="AB14" s="452"/>
      <c r="AC14" s="376"/>
      <c r="AD14" s="385"/>
      <c r="AE14" s="413"/>
      <c r="AW14" s="25">
        <f>SUM(AR14:AT14)</f>
        <v>0</v>
      </c>
      <c r="BE14" s="25">
        <f>SUM(AZ14:BB14)</f>
        <v>0</v>
      </c>
    </row>
    <row r="15" spans="1:58" s="25" customFormat="1" ht="23.25" customHeight="1">
      <c r="A15" s="386" t="s">
        <v>7</v>
      </c>
      <c r="B15" s="422">
        <v>3</v>
      </c>
      <c r="C15" s="388">
        <f>0+1+2</f>
        <v>3</v>
      </c>
      <c r="D15" s="389">
        <f>1+2+0</f>
        <v>3</v>
      </c>
      <c r="E15" s="389">
        <f>1+2+0</f>
        <v>3</v>
      </c>
      <c r="F15" s="389">
        <f>1+2+0</f>
        <v>3</v>
      </c>
      <c r="G15" s="388">
        <f t="shared" si="4"/>
        <v>12</v>
      </c>
      <c r="H15" s="391">
        <f t="shared" si="5"/>
        <v>3</v>
      </c>
      <c r="I15" s="392">
        <v>3</v>
      </c>
      <c r="J15" s="446">
        <v>3</v>
      </c>
      <c r="K15" s="392">
        <f t="shared" si="0"/>
        <v>100</v>
      </c>
      <c r="L15" s="392">
        <v>1</v>
      </c>
      <c r="M15" s="392">
        <v>1</v>
      </c>
      <c r="N15" s="392">
        <f>M15*100/J15</f>
        <v>33.333333333333336</v>
      </c>
      <c r="O15" s="393">
        <f t="shared" si="1"/>
        <v>1</v>
      </c>
      <c r="P15" s="393">
        <f>0+1+0</f>
        <v>1</v>
      </c>
      <c r="Q15" s="393">
        <f>1+0+0</f>
        <v>1</v>
      </c>
      <c r="R15" s="393">
        <f>1+0+0</f>
        <v>1</v>
      </c>
      <c r="S15" s="388">
        <f t="shared" si="7"/>
        <v>4</v>
      </c>
      <c r="T15" s="391">
        <f t="shared" si="6"/>
        <v>1</v>
      </c>
      <c r="U15" s="453">
        <v>1</v>
      </c>
      <c r="V15" s="466">
        <v>1</v>
      </c>
      <c r="W15" s="453">
        <f t="shared" si="2"/>
        <v>100</v>
      </c>
      <c r="X15" s="453">
        <v>2</v>
      </c>
      <c r="Y15" s="453"/>
      <c r="Z15" s="453"/>
      <c r="AA15" s="453">
        <v>1</v>
      </c>
      <c r="AB15" s="453"/>
      <c r="AC15" s="394"/>
      <c r="AD15" s="395"/>
      <c r="AE15" s="414"/>
      <c r="AW15" s="25">
        <f t="shared" ref="AW15:AW16" si="8">SUM(AR15:AT15)</f>
        <v>0</v>
      </c>
      <c r="AX15" s="384"/>
      <c r="BE15" s="25">
        <f t="shared" ref="BE15:BE16" si="9">SUM(AZ15:BB15)</f>
        <v>0</v>
      </c>
      <c r="BF15" s="384"/>
    </row>
    <row r="16" spans="1:58" s="25" customFormat="1" ht="27.75" customHeight="1">
      <c r="A16" s="119" t="s">
        <v>4</v>
      </c>
      <c r="B16" s="423">
        <f>SUM(B9:B15)</f>
        <v>17</v>
      </c>
      <c r="C16" s="397">
        <f t="shared" ref="C16:H16" si="10">SUM(C9:C15)</f>
        <v>17</v>
      </c>
      <c r="D16" s="397">
        <f t="shared" si="10"/>
        <v>17</v>
      </c>
      <c r="E16" s="397">
        <f t="shared" si="10"/>
        <v>17</v>
      </c>
      <c r="F16" s="397">
        <f t="shared" si="10"/>
        <v>17</v>
      </c>
      <c r="G16" s="397">
        <f>SUM(G9:G15)</f>
        <v>68</v>
      </c>
      <c r="H16" s="398">
        <f t="shared" si="10"/>
        <v>17</v>
      </c>
      <c r="I16" s="399">
        <f>SUM(I9:I15)</f>
        <v>17</v>
      </c>
      <c r="J16" s="399">
        <f>SUM(J9:J15)</f>
        <v>17</v>
      </c>
      <c r="K16" s="399">
        <f t="shared" si="0"/>
        <v>100</v>
      </c>
      <c r="L16" s="399">
        <f>SUM(L9:L15)</f>
        <v>2</v>
      </c>
      <c r="M16" s="399">
        <f>SUM(M9:M15)</f>
        <v>2</v>
      </c>
      <c r="N16" s="399">
        <f>M16*100/H16</f>
        <v>11.764705882352942</v>
      </c>
      <c r="O16" s="397">
        <f t="shared" ref="O16:S16" si="11">SUM(O9:O15)</f>
        <v>7</v>
      </c>
      <c r="P16" s="397">
        <f t="shared" si="11"/>
        <v>7</v>
      </c>
      <c r="Q16" s="397">
        <f t="shared" si="11"/>
        <v>7</v>
      </c>
      <c r="R16" s="397">
        <f t="shared" si="11"/>
        <v>7</v>
      </c>
      <c r="S16" s="397">
        <f t="shared" si="11"/>
        <v>28</v>
      </c>
      <c r="T16" s="398">
        <f>SUM(T9:T15)</f>
        <v>7</v>
      </c>
      <c r="U16" s="399">
        <f>SUM(U9:U15)</f>
        <v>7</v>
      </c>
      <c r="V16" s="399">
        <f>SUM(V9:V15)</f>
        <v>7</v>
      </c>
      <c r="W16" s="399">
        <f t="shared" si="2"/>
        <v>100</v>
      </c>
      <c r="X16" s="399">
        <f>SUM(X9:X15)</f>
        <v>11</v>
      </c>
      <c r="Y16" s="399">
        <f t="shared" ref="Y16:AA16" si="12">SUM(Y9:Y15)</f>
        <v>2</v>
      </c>
      <c r="Z16" s="399">
        <f t="shared" si="12"/>
        <v>2</v>
      </c>
      <c r="AA16" s="399">
        <f t="shared" si="12"/>
        <v>7</v>
      </c>
      <c r="AB16" s="399"/>
      <c r="AC16" s="400"/>
      <c r="AD16" s="397">
        <f t="shared" ref="AD16:AE16" si="13">SUM(AD9:AD15)</f>
        <v>0</v>
      </c>
      <c r="AE16" s="397">
        <f t="shared" si="13"/>
        <v>0</v>
      </c>
      <c r="AW16" s="401">
        <f t="shared" si="8"/>
        <v>0</v>
      </c>
      <c r="AX16" s="384"/>
      <c r="BE16" s="401">
        <f t="shared" si="9"/>
        <v>0</v>
      </c>
      <c r="BF16" s="384"/>
    </row>
    <row r="17" spans="1:33" ht="14.25">
      <c r="A17" s="114"/>
      <c r="B17" s="114"/>
      <c r="C17" s="114"/>
    </row>
    <row r="18" spans="1:33" ht="14.25">
      <c r="A18" s="256"/>
      <c r="B18" s="256"/>
      <c r="C18" s="256"/>
      <c r="P18" s="144"/>
      <c r="Q18" s="144"/>
      <c r="R18" s="25"/>
    </row>
    <row r="19" spans="1:33" ht="14.25">
      <c r="D19" s="476"/>
      <c r="E19" s="476"/>
      <c r="R19" s="224"/>
    </row>
    <row r="20" spans="1:33" s="25" customFormat="1" ht="15" thickBot="1">
      <c r="D20" s="120"/>
      <c r="E20" s="402"/>
      <c r="F20" s="403"/>
      <c r="G20" s="403"/>
      <c r="H20" s="152"/>
      <c r="I20" s="152"/>
      <c r="J20" s="152"/>
      <c r="K20" s="152"/>
      <c r="L20" s="152"/>
      <c r="M20" s="152"/>
      <c r="N20" s="152"/>
    </row>
    <row r="21" spans="1:33" ht="14.25">
      <c r="A21" s="256"/>
      <c r="B21" s="417" t="s">
        <v>28</v>
      </c>
      <c r="C21" s="418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67"/>
      <c r="X21" s="279"/>
      <c r="Y21" s="279"/>
      <c r="Z21" s="279"/>
      <c r="AA21" s="279"/>
      <c r="AB21" s="279"/>
      <c r="AC21" s="286"/>
      <c r="AD21" s="286"/>
      <c r="AE21" s="286"/>
      <c r="AF21" s="286"/>
      <c r="AG21" s="286"/>
    </row>
    <row r="22" spans="1:33" ht="16.5" customHeight="1">
      <c r="B22" s="415" t="s">
        <v>8</v>
      </c>
      <c r="C22" s="278"/>
      <c r="D22" s="318" t="s">
        <v>135</v>
      </c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648" t="s">
        <v>89</v>
      </c>
      <c r="U22" s="648"/>
      <c r="V22" s="648"/>
      <c r="W22" s="468"/>
      <c r="X22" s="279"/>
      <c r="Y22" s="279"/>
      <c r="Z22" s="279"/>
      <c r="AA22" s="279"/>
      <c r="AB22" s="279"/>
      <c r="AC22" s="286"/>
      <c r="AD22" s="286"/>
      <c r="AE22" s="286"/>
      <c r="AF22" s="286"/>
      <c r="AG22" s="286"/>
    </row>
    <row r="23" spans="1:33" ht="16.5" customHeight="1">
      <c r="B23" s="312"/>
      <c r="C23" s="279"/>
      <c r="D23" s="425" t="s">
        <v>136</v>
      </c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645" t="s">
        <v>52</v>
      </c>
      <c r="U23" s="645"/>
      <c r="V23" s="645"/>
      <c r="W23" s="468"/>
      <c r="X23" s="279"/>
      <c r="Y23" s="279"/>
      <c r="Z23" s="279"/>
      <c r="AA23" s="279"/>
      <c r="AB23" s="279"/>
      <c r="AC23" s="286"/>
      <c r="AD23" s="286"/>
      <c r="AE23" s="286"/>
      <c r="AF23" s="286"/>
      <c r="AG23" s="286"/>
    </row>
    <row r="24" spans="1:33" ht="16.5" customHeight="1">
      <c r="B24" s="312"/>
      <c r="C24" s="279"/>
      <c r="D24" s="279" t="s">
        <v>137</v>
      </c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646"/>
      <c r="U24" s="646"/>
      <c r="V24" s="646"/>
      <c r="W24" s="468"/>
      <c r="X24" s="279"/>
      <c r="Y24" s="279"/>
      <c r="Z24" s="279"/>
      <c r="AA24" s="279"/>
      <c r="AB24" s="279"/>
      <c r="AC24" s="286"/>
      <c r="AD24" s="286"/>
      <c r="AE24" s="286"/>
      <c r="AF24" s="286"/>
      <c r="AG24" s="286"/>
    </row>
    <row r="25" spans="1:33" ht="8.25" customHeight="1">
      <c r="B25" s="312"/>
      <c r="C25" s="279"/>
      <c r="D25" s="424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646"/>
      <c r="U25" s="646"/>
      <c r="V25" s="646"/>
      <c r="W25" s="468"/>
      <c r="X25" s="279"/>
      <c r="Y25" s="279"/>
      <c r="Z25" s="279"/>
      <c r="AA25" s="279"/>
      <c r="AB25" s="279"/>
      <c r="AC25" s="286"/>
      <c r="AD25" s="286"/>
      <c r="AE25" s="286"/>
      <c r="AF25" s="286"/>
      <c r="AG25" s="286"/>
    </row>
    <row r="26" spans="1:33" ht="16.5" customHeight="1">
      <c r="B26" s="312"/>
      <c r="C26" s="279"/>
      <c r="D26" s="279" t="s">
        <v>138</v>
      </c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646"/>
      <c r="U26" s="646"/>
      <c r="V26" s="646"/>
      <c r="W26" s="468"/>
      <c r="X26" s="279"/>
      <c r="Y26" s="279"/>
      <c r="Z26" s="279"/>
      <c r="AA26" s="279"/>
      <c r="AB26" s="279"/>
      <c r="AC26" s="286"/>
      <c r="AD26" s="286"/>
      <c r="AE26" s="286"/>
      <c r="AF26" s="286"/>
      <c r="AG26" s="286"/>
    </row>
    <row r="27" spans="1:33" ht="16.5" customHeight="1">
      <c r="B27" s="312"/>
      <c r="C27" s="279"/>
      <c r="D27" s="318" t="s">
        <v>139</v>
      </c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647"/>
      <c r="U27" s="647"/>
      <c r="V27" s="647"/>
      <c r="W27" s="468"/>
      <c r="X27" s="279"/>
      <c r="Y27" s="279"/>
      <c r="Z27" s="279"/>
      <c r="AA27" s="279"/>
      <c r="AB27" s="279"/>
      <c r="AC27" s="286"/>
      <c r="AD27" s="286"/>
      <c r="AE27" s="286"/>
      <c r="AF27" s="286"/>
      <c r="AG27" s="286"/>
    </row>
    <row r="28" spans="1:33" ht="16.5" customHeight="1">
      <c r="B28" s="312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468"/>
      <c r="X28" s="279"/>
      <c r="Y28" s="279"/>
      <c r="Z28" s="279"/>
      <c r="AA28" s="279"/>
      <c r="AB28" s="279"/>
      <c r="AC28" s="286"/>
      <c r="AD28" s="286"/>
      <c r="AE28" s="286"/>
      <c r="AF28" s="286"/>
      <c r="AG28" s="286"/>
    </row>
    <row r="29" spans="1:33" ht="16.5" customHeight="1">
      <c r="B29" s="415" t="s">
        <v>23</v>
      </c>
      <c r="C29" s="278"/>
      <c r="D29" s="279" t="s">
        <v>140</v>
      </c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 t="s">
        <v>53</v>
      </c>
      <c r="U29" s="279"/>
      <c r="V29" s="279"/>
      <c r="W29" s="468"/>
      <c r="X29" s="279"/>
      <c r="Y29" s="279"/>
      <c r="Z29" s="279"/>
      <c r="AA29" s="279"/>
      <c r="AB29" s="279"/>
      <c r="AC29" s="286"/>
      <c r="AD29" s="286"/>
      <c r="AE29" s="286"/>
      <c r="AF29" s="286"/>
      <c r="AG29" s="286"/>
    </row>
    <row r="30" spans="1:33" ht="16.5" customHeight="1" thickBot="1">
      <c r="B30" s="313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469"/>
      <c r="X30" s="279"/>
      <c r="Y30" s="279"/>
      <c r="Z30" s="279"/>
      <c r="AA30" s="279"/>
      <c r="AB30" s="279"/>
      <c r="AC30" s="286"/>
      <c r="AD30" s="286"/>
      <c r="AE30" s="286"/>
      <c r="AF30" s="286"/>
      <c r="AG30" s="286"/>
    </row>
    <row r="31" spans="1:33" s="25" customFormat="1" ht="14.25">
      <c r="A31" s="405"/>
      <c r="B31" s="405"/>
      <c r="C31" s="405"/>
      <c r="D31" s="175"/>
      <c r="E31" s="117"/>
      <c r="F31" s="117"/>
      <c r="G31" s="117"/>
      <c r="H31" s="117"/>
      <c r="I31" s="406"/>
      <c r="J31" s="406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</row>
    <row r="32" spans="1:33" s="25" customFormat="1" ht="14.25">
      <c r="A32" s="117"/>
      <c r="B32" s="117"/>
      <c r="C32" s="117"/>
      <c r="D32" s="117"/>
      <c r="E32" s="407"/>
      <c r="F32" s="407"/>
      <c r="G32" s="117"/>
      <c r="H32" s="117"/>
      <c r="I32" s="406"/>
      <c r="J32" s="406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</row>
    <row r="33" spans="1:29" s="25" customFormat="1" ht="14.25">
      <c r="A33" s="408"/>
      <c r="B33" s="408"/>
      <c r="C33" s="408"/>
      <c r="D33" s="117"/>
      <c r="E33" s="409"/>
      <c r="F33" s="409"/>
      <c r="G33" s="410"/>
      <c r="H33" s="410"/>
      <c r="I33" s="117"/>
      <c r="J33" s="117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</row>
    <row r="34" spans="1:29" s="25" customFormat="1" ht="14.25">
      <c r="A34" s="410"/>
      <c r="B34" s="410"/>
      <c r="C34" s="410"/>
      <c r="D34" s="117"/>
      <c r="E34" s="410"/>
      <c r="F34" s="410"/>
      <c r="G34" s="410"/>
      <c r="H34" s="410" t="s">
        <v>20</v>
      </c>
      <c r="I34" s="406"/>
      <c r="J34" s="406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</row>
    <row r="35" spans="1:29" s="25" customFormat="1" ht="14.25">
      <c r="A35" s="410"/>
      <c r="B35" s="410"/>
      <c r="C35" s="410"/>
      <c r="D35" s="117"/>
      <c r="E35" s="410"/>
      <c r="F35" s="410"/>
      <c r="G35" s="410"/>
      <c r="H35" s="410"/>
      <c r="I35" s="406"/>
      <c r="J35" s="406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</row>
    <row r="36" spans="1:29" s="25" customFormat="1" ht="14.25">
      <c r="A36" s="408"/>
      <c r="B36" s="408"/>
      <c r="C36" s="408"/>
      <c r="D36" s="117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</row>
    <row r="37" spans="1:29" s="25" customFormat="1" ht="14.25">
      <c r="A37" s="410"/>
      <c r="B37" s="410"/>
      <c r="C37" s="410"/>
      <c r="D37" s="411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</row>
    <row r="38" spans="1:29" ht="14.25">
      <c r="A38" s="410"/>
      <c r="B38" s="410"/>
      <c r="C38" s="410"/>
      <c r="D38" s="117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</row>
    <row r="39" spans="1:29" ht="14.25">
      <c r="A39" s="410"/>
      <c r="B39" s="410"/>
      <c r="C39" s="410"/>
      <c r="D39" s="117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</row>
    <row r="40" spans="1:29" ht="14.25">
      <c r="A40" s="410"/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</row>
    <row r="41" spans="1:29" ht="14.25"/>
    <row r="42" spans="1:29" ht="14.25"/>
    <row r="43" spans="1:29" ht="14.25"/>
    <row r="44" spans="1:29" ht="14.25"/>
    <row r="45" spans="1:29" ht="14.25"/>
    <row r="46" spans="1:29" ht="14.25"/>
    <row r="47" spans="1:29" ht="14.25"/>
    <row r="48" spans="1:29" ht="14.25"/>
    <row r="49" ht="14.25"/>
    <row r="50" ht="14.25"/>
  </sheetData>
  <mergeCells count="38">
    <mergeCell ref="AC4:AE4"/>
    <mergeCell ref="AC5:AE5"/>
    <mergeCell ref="C6:H6"/>
    <mergeCell ref="I6:K6"/>
    <mergeCell ref="AE6:AE8"/>
    <mergeCell ref="C7:G7"/>
    <mergeCell ref="H7:H8"/>
    <mergeCell ref="I7:I8"/>
    <mergeCell ref="K7:K8"/>
    <mergeCell ref="O7:S7"/>
    <mergeCell ref="AC6:AD7"/>
    <mergeCell ref="X6:Z6"/>
    <mergeCell ref="X7:X8"/>
    <mergeCell ref="Y7:Y8"/>
    <mergeCell ref="L6:N6"/>
    <mergeCell ref="L7:L8"/>
    <mergeCell ref="A1:AB1"/>
    <mergeCell ref="A2:AB2"/>
    <mergeCell ref="A4:A8"/>
    <mergeCell ref="B4:B8"/>
    <mergeCell ref="O4:W5"/>
    <mergeCell ref="M7:M8"/>
    <mergeCell ref="N7:N8"/>
    <mergeCell ref="C4:N5"/>
    <mergeCell ref="T23:V27"/>
    <mergeCell ref="U6:W6"/>
    <mergeCell ref="U7:U8"/>
    <mergeCell ref="V7:V8"/>
    <mergeCell ref="W7:W8"/>
    <mergeCell ref="T22:V22"/>
    <mergeCell ref="T7:T8"/>
    <mergeCell ref="D19:E19"/>
    <mergeCell ref="J7:J8"/>
    <mergeCell ref="O6:T6"/>
    <mergeCell ref="X4:AB5"/>
    <mergeCell ref="Z7:Z8"/>
    <mergeCell ref="AA6:AA8"/>
    <mergeCell ref="AB6:AB8"/>
  </mergeCells>
  <printOptions horizontalCentered="1"/>
  <pageMargins left="0.11811023622047245" right="0.11811023622047245" top="0" bottom="0" header="0.31496062992125984" footer="0.31496062992125984"/>
  <pageSetup paperSize="9"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(PC-RC1)_อบรมผู้ตรวจสอบกิจการ</vt:lpstr>
      <vt:lpstr>(PC-RC2)_ผู้จัดการพืชเศรษฐกิจ</vt:lpstr>
      <vt:lpstr>(PC-RC3)_พัฒนาประสิทธิภาพ</vt:lpstr>
      <vt:lpstr>(PC-RC4)_พัฒนาสหกรณ์ภาคเอกชน</vt:lpstr>
      <vt:lpstr>(PC-RC5)_วสช.ใหม่</vt:lpstr>
      <vt:lpstr>(PC-RC6)_วสช.เดิม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uraiwan</cp:lastModifiedBy>
  <cp:lastPrinted>2016-01-31T07:19:53Z</cp:lastPrinted>
  <dcterms:created xsi:type="dcterms:W3CDTF">2009-12-14T03:39:28Z</dcterms:created>
  <dcterms:modified xsi:type="dcterms:W3CDTF">2016-01-31T07:24:20Z</dcterms:modified>
</cp:coreProperties>
</file>