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activeX/activeX1.xml" ContentType="application/vnd.ms-office.activeX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660" yWindow="285" windowWidth="11355" windowHeight="7635" tabRatio="744"/>
  </bookViews>
  <sheets>
    <sheet name="(PA-RA1)_งานสอบบัญชี" sheetId="2" r:id="rId1"/>
    <sheet name="(PA-RA2)_งานสอนแนะอบรม" sheetId="3" r:id="rId2"/>
    <sheet name="(PA-RA3)_งานวางระบบบัญชี" sheetId="18" r:id="rId3"/>
    <sheet name="(PA-RA4)งานติดตามความเคลื่อนไหว" sheetId="39" r:id="rId4"/>
    <sheet name="(PA-RA5)_ควบคุมคุณภาพ-ภาครัฐ" sheetId="80" r:id="rId5"/>
    <sheet name="(PA-RA6)_งานพัฒนาระบบบัญชี" sheetId="81" r:id="rId6"/>
    <sheet name="(PB-RB1)_งานสอบภาคเอกชน" sheetId="82" state="hidden" r:id="rId7"/>
    <sheet name="(PA-RA7)_พิสูจน์ความมีอยู่จริง" sheetId="83" r:id="rId8"/>
    <sheet name="(PA-RA8)_Scan ธุรกิจ" sheetId="84" r:id="rId9"/>
    <sheet name="(RA9)_สหกรณ์มีปัญหาพิเศษ" sheetId="85" r:id="rId10"/>
    <sheet name="(PB-RB1)_สอบบัญชีภาคเอกชน" sheetId="86" state="hidden" r:id="rId11"/>
    <sheet name="(PB-RB2)_กำกับสหกรณ์ภาคเอกชน" sheetId="78" r:id="rId12"/>
    <sheet name="(PB-RB3)_ควบคุมคุณภาพ-ภาคเอกชน" sheetId="77" r:id="rId13"/>
    <sheet name="(PB-RB4)_เตรียมความพร้อมโอนออก" sheetId="87" r:id="rId14"/>
  </sheets>
  <calcPr calcId="124519"/>
  <fileRecoveryPr autoRecover="0"/>
</workbook>
</file>

<file path=xl/calcChain.xml><?xml version="1.0" encoding="utf-8"?>
<calcChain xmlns="http://schemas.openxmlformats.org/spreadsheetml/2006/main">
  <c r="N10" i="3"/>
  <c r="H13" i="2" l="1"/>
  <c r="G13" i="87"/>
  <c r="F13"/>
  <c r="B14"/>
  <c r="B13"/>
  <c r="B11"/>
  <c r="K16"/>
  <c r="AC13" i="78"/>
  <c r="U13"/>
  <c r="J13"/>
  <c r="J14"/>
  <c r="AA13"/>
  <c r="R15"/>
  <c r="R14"/>
  <c r="R13"/>
  <c r="R12"/>
  <c r="H14"/>
  <c r="H13"/>
  <c r="H12"/>
  <c r="AB11" i="83"/>
  <c r="AB12"/>
  <c r="AB13"/>
  <c r="AB14"/>
  <c r="AB9"/>
  <c r="AB15" s="1"/>
  <c r="AB10"/>
  <c r="Z15"/>
  <c r="AB8"/>
  <c r="T14"/>
  <c r="T13"/>
  <c r="T12"/>
  <c r="T11"/>
  <c r="S11"/>
  <c r="T8"/>
  <c r="L13"/>
  <c r="L12"/>
  <c r="L11"/>
  <c r="L10"/>
  <c r="L9"/>
  <c r="I9" i="81"/>
  <c r="C9"/>
  <c r="R15" i="80"/>
  <c r="R12"/>
  <c r="J11" i="18"/>
  <c r="D11"/>
  <c r="C11"/>
  <c r="H10"/>
  <c r="D10"/>
  <c r="O14" i="3"/>
  <c r="N14"/>
  <c r="S14" s="1"/>
  <c r="S10"/>
  <c r="O13"/>
  <c r="N13"/>
  <c r="S13" s="1"/>
  <c r="O10"/>
  <c r="AO9"/>
  <c r="N11"/>
  <c r="O10" i="2"/>
  <c r="AC14"/>
  <c r="AC9"/>
  <c r="Y14"/>
  <c r="X14"/>
  <c r="Y11"/>
  <c r="X11"/>
  <c r="AA9"/>
  <c r="Z9"/>
  <c r="U15"/>
  <c r="U14"/>
  <c r="U13"/>
  <c r="U12"/>
  <c r="U11"/>
  <c r="U10"/>
  <c r="U9"/>
  <c r="S14"/>
  <c r="R14"/>
  <c r="P14"/>
  <c r="Q13"/>
  <c r="P13"/>
  <c r="P11"/>
  <c r="S9"/>
  <c r="Q9"/>
  <c r="P9"/>
  <c r="H15"/>
  <c r="H14"/>
  <c r="H12"/>
  <c r="H11"/>
  <c r="K10"/>
  <c r="H10"/>
  <c r="H9"/>
  <c r="F16"/>
  <c r="E15" i="77"/>
  <c r="E14" i="87"/>
  <c r="C14"/>
  <c r="I14"/>
  <c r="M10" i="84"/>
  <c r="AD15" i="83"/>
  <c r="AC15"/>
  <c r="U9" i="81"/>
  <c r="N9"/>
  <c r="I10"/>
  <c r="C10"/>
  <c r="J14" i="39"/>
  <c r="J14" i="18"/>
  <c r="V16" i="2"/>
  <c r="M14" i="80"/>
  <c r="L14"/>
  <c r="M13"/>
  <c r="L13"/>
  <c r="M12"/>
  <c r="M11"/>
  <c r="L11"/>
  <c r="M10"/>
  <c r="M8"/>
  <c r="L8"/>
  <c r="U9" i="78"/>
  <c r="M11" i="84"/>
  <c r="M12"/>
  <c r="N9" i="83"/>
  <c r="N10"/>
  <c r="N11"/>
  <c r="N12"/>
  <c r="W10"/>
  <c r="W12"/>
  <c r="W13"/>
  <c r="W14"/>
  <c r="W11"/>
  <c r="Q8"/>
  <c r="P8"/>
  <c r="O8"/>
  <c r="J13" i="39"/>
  <c r="J9"/>
  <c r="J10"/>
  <c r="J11"/>
  <c r="H14" i="18"/>
  <c r="H13"/>
  <c r="H11"/>
  <c r="W10" i="3"/>
  <c r="AO10"/>
  <c r="AO11"/>
  <c r="AO13"/>
  <c r="AO14"/>
  <c r="AO15"/>
  <c r="T16"/>
  <c r="AA14" i="2"/>
  <c r="Q14"/>
  <c r="G14" i="87"/>
  <c r="G11"/>
  <c r="AA14" i="78"/>
  <c r="AA11"/>
  <c r="AA10"/>
  <c r="V10"/>
  <c r="R9"/>
  <c r="H9"/>
  <c r="X11" i="86"/>
  <c r="X12"/>
  <c r="X13"/>
  <c r="X14"/>
  <c r="X10"/>
  <c r="X9"/>
  <c r="P10"/>
  <c r="P11"/>
  <c r="P12"/>
  <c r="P13"/>
  <c r="P14"/>
  <c r="P9"/>
  <c r="P8"/>
  <c r="K10" i="84"/>
  <c r="K11"/>
  <c r="K12"/>
  <c r="K13"/>
  <c r="K14"/>
  <c r="K9"/>
  <c r="K8"/>
  <c r="H12"/>
  <c r="T10" i="83"/>
  <c r="Q12"/>
  <c r="P12"/>
  <c r="Q10"/>
  <c r="Q9"/>
  <c r="P9"/>
  <c r="H14"/>
  <c r="G14"/>
  <c r="H13"/>
  <c r="I12"/>
  <c r="H12"/>
  <c r="G12"/>
  <c r="J10"/>
  <c r="I10"/>
  <c r="H10"/>
  <c r="G10"/>
  <c r="I9"/>
  <c r="H9"/>
  <c r="G13"/>
  <c r="G11"/>
  <c r="G9"/>
  <c r="L14"/>
  <c r="L8"/>
  <c r="G8"/>
  <c r="F14"/>
  <c r="F13"/>
  <c r="F12"/>
  <c r="F11"/>
  <c r="F10"/>
  <c r="F9"/>
  <c r="E8"/>
  <c r="F8" s="1"/>
  <c r="H11" i="39"/>
  <c r="H12"/>
  <c r="H13"/>
  <c r="H14"/>
  <c r="H10"/>
  <c r="H9"/>
  <c r="C14" i="3"/>
  <c r="H14" s="1"/>
  <c r="Y9" i="2"/>
  <c r="X9"/>
  <c r="P15"/>
  <c r="S11"/>
  <c r="R11"/>
  <c r="Q11"/>
  <c r="S10"/>
  <c r="R10"/>
  <c r="Q10"/>
  <c r="P10"/>
  <c r="W10" s="1"/>
  <c r="M14"/>
  <c r="M10"/>
  <c r="I11" i="87"/>
  <c r="AO16" i="3" l="1"/>
  <c r="H15" i="18"/>
  <c r="M9" i="84"/>
  <c r="H9"/>
  <c r="E9"/>
  <c r="B9"/>
  <c r="J12" i="2"/>
  <c r="AC10" i="78" l="1"/>
  <c r="M16" i="87"/>
  <c r="J16"/>
  <c r="AC14" i="78"/>
  <c r="AC11"/>
  <c r="U14"/>
  <c r="U12"/>
  <c r="W10"/>
  <c r="N15"/>
  <c r="O14"/>
  <c r="N14"/>
  <c r="M14"/>
  <c r="N13"/>
  <c r="O12"/>
  <c r="N12"/>
  <c r="M12"/>
  <c r="O11"/>
  <c r="N10"/>
  <c r="M9"/>
  <c r="O15" i="84"/>
  <c r="P15"/>
  <c r="N15"/>
  <c r="Q15"/>
  <c r="H14"/>
  <c r="H8"/>
  <c r="M15" i="83"/>
  <c r="N14"/>
  <c r="N13"/>
  <c r="N8"/>
  <c r="R12"/>
  <c r="R10"/>
  <c r="S10"/>
  <c r="O12"/>
  <c r="M9" i="80"/>
  <c r="J12" i="39"/>
  <c r="C10"/>
  <c r="R14" i="3"/>
  <c r="K15" i="18"/>
  <c r="L13"/>
  <c r="J13"/>
  <c r="J10"/>
  <c r="X16" i="3"/>
  <c r="V16"/>
  <c r="W15"/>
  <c r="W14"/>
  <c r="W13"/>
  <c r="W12"/>
  <c r="W11"/>
  <c r="W9"/>
  <c r="W9" i="2" l="1"/>
  <c r="M9"/>
  <c r="O9" s="1"/>
  <c r="O14"/>
  <c r="H42" i="83"/>
  <c r="H43"/>
  <c r="H44"/>
  <c r="H45"/>
  <c r="H46"/>
  <c r="H47"/>
  <c r="H41"/>
  <c r="G47"/>
  <c r="G42"/>
  <c r="G43"/>
  <c r="G44"/>
  <c r="G45"/>
  <c r="G46"/>
  <c r="G41"/>
  <c r="E47"/>
  <c r="F47"/>
  <c r="D47"/>
  <c r="C11" i="3"/>
  <c r="H11" s="1"/>
  <c r="J11" s="1"/>
  <c r="X15" i="2"/>
  <c r="AC15" s="1"/>
  <c r="AE15" s="1"/>
  <c r="AC11"/>
  <c r="W15"/>
  <c r="W14"/>
  <c r="W11"/>
  <c r="W13"/>
  <c r="M12"/>
  <c r="O12" s="1"/>
  <c r="K11"/>
  <c r="M11"/>
  <c r="O11" s="1"/>
  <c r="L15" i="84"/>
  <c r="M8"/>
  <c r="F15"/>
  <c r="Y15" i="83"/>
  <c r="AA15"/>
  <c r="X15"/>
  <c r="V15"/>
  <c r="U15"/>
  <c r="W8"/>
  <c r="O10"/>
  <c r="O13"/>
  <c r="S8"/>
  <c r="E14"/>
  <c r="E13"/>
  <c r="E12"/>
  <c r="E11"/>
  <c r="E10"/>
  <c r="E9"/>
  <c r="D15"/>
  <c r="J12" i="78"/>
  <c r="J9"/>
  <c r="D10"/>
  <c r="I15" i="18"/>
  <c r="AI16" i="3"/>
  <c r="AE11" i="2"/>
  <c r="L15" i="18" l="1"/>
  <c r="J15"/>
  <c r="W15" i="83"/>
  <c r="Y16" i="3" l="1"/>
  <c r="Z16"/>
  <c r="AA16"/>
  <c r="U14"/>
  <c r="W16"/>
  <c r="AE9" i="2"/>
  <c r="O11" i="83"/>
  <c r="C9" i="39"/>
  <c r="C10" i="18"/>
  <c r="J14" i="3"/>
  <c r="AC13"/>
  <c r="AH13" s="1"/>
  <c r="AJ13" s="1"/>
  <c r="C13"/>
  <c r="H13" s="1"/>
  <c r="AC12"/>
  <c r="AH12" s="1"/>
  <c r="AJ12" s="1"/>
  <c r="C10"/>
  <c r="H10" s="1"/>
  <c r="N12"/>
  <c r="S12" s="1"/>
  <c r="U12" s="1"/>
  <c r="H16" i="87"/>
  <c r="G16"/>
  <c r="D16"/>
  <c r="C16"/>
  <c r="B16"/>
  <c r="E16"/>
  <c r="F14"/>
  <c r="F11"/>
  <c r="A1"/>
  <c r="K15" i="77"/>
  <c r="L14"/>
  <c r="K14"/>
  <c r="L13"/>
  <c r="K12"/>
  <c r="L11"/>
  <c r="L10"/>
  <c r="K10"/>
  <c r="L9"/>
  <c r="H16"/>
  <c r="B16"/>
  <c r="F15"/>
  <c r="E16"/>
  <c r="F14"/>
  <c r="F13"/>
  <c r="F12"/>
  <c r="F10"/>
  <c r="D16"/>
  <c r="W15" i="78"/>
  <c r="X14"/>
  <c r="W14"/>
  <c r="V14"/>
  <c r="W13"/>
  <c r="W12"/>
  <c r="V11"/>
  <c r="W9"/>
  <c r="E15"/>
  <c r="E14"/>
  <c r="D14"/>
  <c r="D13"/>
  <c r="E12"/>
  <c r="D12"/>
  <c r="C12"/>
  <c r="E11"/>
  <c r="C9"/>
  <c r="S14" i="86"/>
  <c r="V13"/>
  <c r="T13"/>
  <c r="S13"/>
  <c r="T12"/>
  <c r="T11"/>
  <c r="S11"/>
  <c r="T10"/>
  <c r="S10"/>
  <c r="T9"/>
  <c r="S9"/>
  <c r="T8"/>
  <c r="M13"/>
  <c r="M15" s="1"/>
  <c r="K14"/>
  <c r="K13"/>
  <c r="K12"/>
  <c r="K11"/>
  <c r="K9"/>
  <c r="O9" s="1"/>
  <c r="K8"/>
  <c r="Y15"/>
  <c r="V15"/>
  <c r="Q15"/>
  <c r="B15"/>
  <c r="W14"/>
  <c r="O14"/>
  <c r="W12"/>
  <c r="F15"/>
  <c r="U15"/>
  <c r="O10"/>
  <c r="C15"/>
  <c r="A1"/>
  <c r="A1" i="85"/>
  <c r="M14" i="84"/>
  <c r="M13"/>
  <c r="H13"/>
  <c r="J13" s="1"/>
  <c r="J12"/>
  <c r="H11"/>
  <c r="H10"/>
  <c r="J10" s="1"/>
  <c r="E14"/>
  <c r="E13"/>
  <c r="G13" s="1"/>
  <c r="E11"/>
  <c r="E15"/>
  <c r="G15" s="1"/>
  <c r="E8"/>
  <c r="G8" s="1"/>
  <c r="B14"/>
  <c r="B13"/>
  <c r="D13" s="1"/>
  <c r="B12"/>
  <c r="D12" s="1"/>
  <c r="B11"/>
  <c r="B10"/>
  <c r="B8"/>
  <c r="D8" s="1"/>
  <c r="J14"/>
  <c r="D11"/>
  <c r="J9"/>
  <c r="K15"/>
  <c r="M15" s="1"/>
  <c r="I15"/>
  <c r="H15"/>
  <c r="C15"/>
  <c r="A1"/>
  <c r="Q14" i="83"/>
  <c r="P14"/>
  <c r="O14"/>
  <c r="R13"/>
  <c r="Q13"/>
  <c r="P13"/>
  <c r="R11"/>
  <c r="Q11"/>
  <c r="P11"/>
  <c r="P10"/>
  <c r="R9"/>
  <c r="R15" s="1"/>
  <c r="Q15"/>
  <c r="P15"/>
  <c r="O15"/>
  <c r="J14"/>
  <c r="J13"/>
  <c r="I13"/>
  <c r="J11"/>
  <c r="I11"/>
  <c r="H11"/>
  <c r="C15"/>
  <c r="E15" s="1"/>
  <c r="B15"/>
  <c r="A1"/>
  <c r="L12" i="80"/>
  <c r="K12"/>
  <c r="L10"/>
  <c r="K10"/>
  <c r="K8"/>
  <c r="E13"/>
  <c r="E11"/>
  <c r="E8"/>
  <c r="F8" s="1"/>
  <c r="D14"/>
  <c r="D12"/>
  <c r="D10"/>
  <c r="D9"/>
  <c r="D15" s="1"/>
  <c r="U15" i="39"/>
  <c r="M15"/>
  <c r="L15"/>
  <c r="K15"/>
  <c r="S15"/>
  <c r="T15"/>
  <c r="Q15"/>
  <c r="P15"/>
  <c r="O15"/>
  <c r="R15"/>
  <c r="G10"/>
  <c r="G14"/>
  <c r="C14"/>
  <c r="C13"/>
  <c r="G13" s="1"/>
  <c r="C12"/>
  <c r="G12" s="1"/>
  <c r="C11"/>
  <c r="G11" s="1"/>
  <c r="G9"/>
  <c r="C14" i="18"/>
  <c r="G14" s="1"/>
  <c r="C13"/>
  <c r="B15"/>
  <c r="AG12" i="3"/>
  <c r="AC14"/>
  <c r="AC11"/>
  <c r="AC9"/>
  <c r="AB16"/>
  <c r="N15"/>
  <c r="S15" s="1"/>
  <c r="U15" s="1"/>
  <c r="S11"/>
  <c r="U10"/>
  <c r="M11"/>
  <c r="M12"/>
  <c r="M13"/>
  <c r="M14"/>
  <c r="M15"/>
  <c r="M10"/>
  <c r="M9"/>
  <c r="N9"/>
  <c r="S9" s="1"/>
  <c r="U9" s="1"/>
  <c r="C15"/>
  <c r="H15" s="1"/>
  <c r="C12"/>
  <c r="H12" s="1"/>
  <c r="C9"/>
  <c r="H9" s="1"/>
  <c r="AE14" i="2"/>
  <c r="AA15"/>
  <c r="Z15"/>
  <c r="Y15"/>
  <c r="Z14"/>
  <c r="Z13"/>
  <c r="Y13"/>
  <c r="X13"/>
  <c r="AC13" s="1"/>
  <c r="AE13" s="1"/>
  <c r="AA12"/>
  <c r="Z12"/>
  <c r="Y12"/>
  <c r="X12"/>
  <c r="AC12" s="1"/>
  <c r="AE12" s="1"/>
  <c r="AA11"/>
  <c r="Z11"/>
  <c r="AA10"/>
  <c r="Z10"/>
  <c r="Y10"/>
  <c r="X10"/>
  <c r="AC10" s="1"/>
  <c r="AC16" s="1"/>
  <c r="S15"/>
  <c r="R15"/>
  <c r="Q15"/>
  <c r="R12"/>
  <c r="Q12"/>
  <c r="P12"/>
  <c r="T11"/>
  <c r="K15"/>
  <c r="M15"/>
  <c r="O15" s="1"/>
  <c r="L12"/>
  <c r="L11"/>
  <c r="K9"/>
  <c r="P16" i="77"/>
  <c r="J12" i="3" l="1"/>
  <c r="AN12"/>
  <c r="J10"/>
  <c r="AN10"/>
  <c r="J13"/>
  <c r="AN13"/>
  <c r="J9"/>
  <c r="J15"/>
  <c r="AN15"/>
  <c r="U11"/>
  <c r="L13" i="2"/>
  <c r="M13"/>
  <c r="O13" s="1"/>
  <c r="U16"/>
  <c r="W12"/>
  <c r="AE10"/>
  <c r="I16" i="87"/>
  <c r="AG13" i="3"/>
  <c r="AG9"/>
  <c r="AH9"/>
  <c r="AN9" s="1"/>
  <c r="AG14"/>
  <c r="AH14"/>
  <c r="R13"/>
  <c r="U13"/>
  <c r="AG11"/>
  <c r="AH11"/>
  <c r="AJ11" s="1"/>
  <c r="T9" i="2"/>
  <c r="L10"/>
  <c r="L15"/>
  <c r="T10"/>
  <c r="F15" i="83"/>
  <c r="AC16" i="3"/>
  <c r="F16" i="87"/>
  <c r="F11" i="77"/>
  <c r="C16"/>
  <c r="F9"/>
  <c r="W9" i="86"/>
  <c r="K15"/>
  <c r="T15"/>
  <c r="W13"/>
  <c r="O8"/>
  <c r="W8"/>
  <c r="L15"/>
  <c r="N15"/>
  <c r="E15"/>
  <c r="W10"/>
  <c r="O11"/>
  <c r="O12"/>
  <c r="O13"/>
  <c r="W11"/>
  <c r="D15"/>
  <c r="S15"/>
  <c r="B15" i="84"/>
  <c r="J11"/>
  <c r="D14"/>
  <c r="D9"/>
  <c r="D10"/>
  <c r="J8"/>
  <c r="J15" s="1"/>
  <c r="G15" i="83"/>
  <c r="K9"/>
  <c r="I15"/>
  <c r="J15"/>
  <c r="L15"/>
  <c r="N15" s="1"/>
  <c r="S9"/>
  <c r="T15"/>
  <c r="H15"/>
  <c r="S14"/>
  <c r="K8"/>
  <c r="K13"/>
  <c r="K14"/>
  <c r="S13"/>
  <c r="S12"/>
  <c r="K12"/>
  <c r="K11"/>
  <c r="K10"/>
  <c r="N15" i="39"/>
  <c r="T12" i="2"/>
  <c r="T13"/>
  <c r="T15"/>
  <c r="T14"/>
  <c r="L14"/>
  <c r="AG16" i="3" l="1"/>
  <c r="AJ14"/>
  <c r="AN14"/>
  <c r="AN11"/>
  <c r="F16" i="77"/>
  <c r="AJ9" i="3"/>
  <c r="AH16"/>
  <c r="AJ16" s="1"/>
  <c r="G16" i="77"/>
  <c r="W15" i="86"/>
  <c r="G15"/>
  <c r="O15"/>
  <c r="X15"/>
  <c r="Z15" s="1"/>
  <c r="H15"/>
  <c r="P15"/>
  <c r="D15" i="84"/>
  <c r="K15" i="83"/>
  <c r="S15"/>
  <c r="AD16" i="2"/>
  <c r="AE16" s="1"/>
  <c r="AN16" i="3" l="1"/>
  <c r="Y15" i="39"/>
  <c r="D16" i="2" l="1"/>
  <c r="E15" i="18" l="1"/>
  <c r="L13" i="82"/>
  <c r="K13"/>
  <c r="K10"/>
  <c r="P10" s="1"/>
  <c r="X8"/>
  <c r="P13"/>
  <c r="Z8" l="1"/>
  <c r="A1" i="39" l="1"/>
  <c r="G13" i="18"/>
  <c r="Q15" i="82"/>
  <c r="B16" i="78"/>
  <c r="AG16" i="2" l="1"/>
  <c r="T10" i="82" l="1"/>
  <c r="S10"/>
  <c r="T9"/>
  <c r="R10"/>
  <c r="K9"/>
  <c r="P9" s="1"/>
  <c r="C10"/>
  <c r="G10" s="1"/>
  <c r="C9"/>
  <c r="H9" s="1"/>
  <c r="D15" i="18"/>
  <c r="X10" i="82" l="1"/>
  <c r="Z10" s="1"/>
  <c r="O9"/>
  <c r="H10"/>
  <c r="J10" s="1"/>
  <c r="R10" i="3"/>
  <c r="S14" i="82"/>
  <c r="X14" l="1"/>
  <c r="Z14" s="1"/>
  <c r="V13"/>
  <c r="U13"/>
  <c r="T13"/>
  <c r="S13"/>
  <c r="S11"/>
  <c r="T8"/>
  <c r="H13"/>
  <c r="H11"/>
  <c r="J11" s="1"/>
  <c r="C13"/>
  <c r="G13" s="1"/>
  <c r="G9"/>
  <c r="X11" l="1"/>
  <c r="Z11" s="1"/>
  <c r="X13"/>
  <c r="Z13" s="1"/>
  <c r="N12" i="80"/>
  <c r="N13"/>
  <c r="N14"/>
  <c r="N9"/>
  <c r="R9" i="3" l="1"/>
  <c r="L16"/>
  <c r="R11"/>
  <c r="K16"/>
  <c r="R12"/>
  <c r="R15"/>
  <c r="N8" i="80"/>
  <c r="N11"/>
  <c r="N10"/>
  <c r="N14" i="77"/>
  <c r="N13"/>
  <c r="N15"/>
  <c r="N10"/>
  <c r="N9"/>
  <c r="T14" i="82"/>
  <c r="T12"/>
  <c r="S12"/>
  <c r="T11"/>
  <c r="S9"/>
  <c r="X9" s="1"/>
  <c r="K14"/>
  <c r="P14" s="1"/>
  <c r="R14" s="1"/>
  <c r="O10"/>
  <c r="O13"/>
  <c r="K12"/>
  <c r="P12" s="1"/>
  <c r="K11"/>
  <c r="P11" s="1"/>
  <c r="C11"/>
  <c r="G11" s="1"/>
  <c r="B15"/>
  <c r="Y15"/>
  <c r="V15"/>
  <c r="U15"/>
  <c r="I15"/>
  <c r="F15"/>
  <c r="W14"/>
  <c r="D15"/>
  <c r="S15"/>
  <c r="N15"/>
  <c r="L15"/>
  <c r="A1"/>
  <c r="B15" i="39"/>
  <c r="G11" i="3"/>
  <c r="AM11" s="1"/>
  <c r="G12"/>
  <c r="G13"/>
  <c r="AM13" s="1"/>
  <c r="G14"/>
  <c r="AM14" s="1"/>
  <c r="G15"/>
  <c r="AM15" s="1"/>
  <c r="AM12" l="1"/>
  <c r="S16"/>
  <c r="U16" s="1"/>
  <c r="N11" i="77"/>
  <c r="N12"/>
  <c r="P15" i="82"/>
  <c r="R15" s="1"/>
  <c r="O14"/>
  <c r="X12"/>
  <c r="Z12" s="1"/>
  <c r="W9"/>
  <c r="G10" i="3"/>
  <c r="AM10" s="1"/>
  <c r="G9"/>
  <c r="AM9" s="1"/>
  <c r="Z9" i="82"/>
  <c r="G10" i="18"/>
  <c r="G11"/>
  <c r="O12" i="82"/>
  <c r="O11"/>
  <c r="W8"/>
  <c r="W10"/>
  <c r="M15"/>
  <c r="W12"/>
  <c r="G15"/>
  <c r="W11"/>
  <c r="W13"/>
  <c r="C15"/>
  <c r="E15"/>
  <c r="K15"/>
  <c r="T15"/>
  <c r="C15" i="18"/>
  <c r="AB15" i="2"/>
  <c r="K16"/>
  <c r="I16" i="3"/>
  <c r="F16"/>
  <c r="E16"/>
  <c r="D16"/>
  <c r="C16"/>
  <c r="N16" i="2"/>
  <c r="P15" i="80"/>
  <c r="AM16" i="3" l="1"/>
  <c r="G15" i="18"/>
  <c r="G16" i="3"/>
  <c r="AB14" i="2"/>
  <c r="H16" i="3"/>
  <c r="J16" s="1"/>
  <c r="O15" i="82"/>
  <c r="L9" i="2"/>
  <c r="J16"/>
  <c r="AB12"/>
  <c r="AB13"/>
  <c r="I16"/>
  <c r="AB10"/>
  <c r="M16" i="3"/>
  <c r="S16" i="2"/>
  <c r="AB9"/>
  <c r="AB11"/>
  <c r="H16"/>
  <c r="W15" i="82"/>
  <c r="X15"/>
  <c r="Z15" s="1"/>
  <c r="H15"/>
  <c r="AJ9" i="39"/>
  <c r="AO9" s="1"/>
  <c r="AX14"/>
  <c r="AX12"/>
  <c r="AX11"/>
  <c r="AX10"/>
  <c r="AX9"/>
  <c r="AO15"/>
  <c r="AO14"/>
  <c r="AO13"/>
  <c r="AO12"/>
  <c r="AO10"/>
  <c r="AK16" i="3"/>
  <c r="L16" i="2" l="1"/>
  <c r="M16"/>
  <c r="O16" s="1"/>
  <c r="A1" i="77" l="1"/>
  <c r="A1" i="78"/>
  <c r="O16" i="77"/>
  <c r="B16" i="2" l="1"/>
  <c r="T16" i="78" l="1"/>
  <c r="K16"/>
  <c r="Q15" i="80"/>
  <c r="H16" i="78" l="1"/>
  <c r="B16" i="3" l="1"/>
  <c r="G16" i="2" l="1"/>
  <c r="AB16" i="78" l="1"/>
  <c r="S16"/>
  <c r="L16"/>
  <c r="I16"/>
  <c r="E16" i="2" l="1"/>
  <c r="C15" i="39"/>
  <c r="A1" i="81"/>
  <c r="J15" i="80"/>
  <c r="F14"/>
  <c r="F12"/>
  <c r="F11"/>
  <c r="F10"/>
  <c r="Z14" i="78"/>
  <c r="Z13"/>
  <c r="Z12"/>
  <c r="Z11"/>
  <c r="Z10"/>
  <c r="Z9"/>
  <c r="Y16"/>
  <c r="X16"/>
  <c r="V16"/>
  <c r="Q12"/>
  <c r="Q11"/>
  <c r="G15"/>
  <c r="G9"/>
  <c r="G12"/>
  <c r="G11"/>
  <c r="F16"/>
  <c r="E16"/>
  <c r="D16"/>
  <c r="Z15" l="1"/>
  <c r="Z16" s="1"/>
  <c r="P16"/>
  <c r="E15" i="80"/>
  <c r="K15"/>
  <c r="M16" i="78"/>
  <c r="Q15"/>
  <c r="Q10"/>
  <c r="L15" i="80"/>
  <c r="O16" i="78"/>
  <c r="M15" i="80"/>
  <c r="F9"/>
  <c r="F13"/>
  <c r="C16" i="78"/>
  <c r="G10"/>
  <c r="G14"/>
  <c r="G13"/>
  <c r="W16"/>
  <c r="AA16"/>
  <c r="AC16" s="1"/>
  <c r="Q9"/>
  <c r="Q13"/>
  <c r="Q14"/>
  <c r="N16"/>
  <c r="J16"/>
  <c r="M16" i="77"/>
  <c r="L16"/>
  <c r="K16"/>
  <c r="J16"/>
  <c r="O15" i="80" l="1"/>
  <c r="N15"/>
  <c r="G16" i="78"/>
  <c r="R16"/>
  <c r="U16" s="1"/>
  <c r="F15" i="80"/>
  <c r="Q16" i="78"/>
  <c r="N16" i="77"/>
  <c r="C16" i="2" l="1"/>
  <c r="O16" i="3" l="1"/>
  <c r="A1"/>
  <c r="AC6" i="2"/>
  <c r="I15" i="39"/>
  <c r="J15" s="1"/>
  <c r="W16" i="2"/>
  <c r="D15" i="39"/>
  <c r="AA16" i="2"/>
  <c r="Z16"/>
  <c r="X15" i="39"/>
  <c r="W15"/>
  <c r="V15"/>
  <c r="E15"/>
  <c r="F15"/>
  <c r="A1" i="18"/>
  <c r="A1" i="80" s="1"/>
  <c r="Q16" i="3"/>
  <c r="Q16" i="2"/>
  <c r="R16"/>
  <c r="P16"/>
  <c r="N16" i="3"/>
  <c r="Y16" i="2"/>
  <c r="P16" i="3" l="1"/>
  <c r="G15" i="39"/>
  <c r="T16" i="2"/>
  <c r="X16"/>
  <c r="R16" i="3"/>
  <c r="H15" i="39"/>
  <c r="AB16" i="2"/>
</calcChain>
</file>

<file path=xl/comments1.xml><?xml version="1.0" encoding="utf-8"?>
<comments xmlns="http://schemas.openxmlformats.org/spreadsheetml/2006/main">
  <authors>
    <author>uraiwan</author>
  </authors>
  <commentList>
    <comment ref="E10" authorId="0">
      <text>
        <r>
          <rPr>
            <sz val="9"/>
            <color indexed="81"/>
            <rFont val="Tahoma"/>
            <family val="2"/>
          </rPr>
          <t xml:space="preserve">ณ 30 ก.ย. 57  สถานะปรับเปลี่ยน 6 แห่ง  แต่วางแผนเพิ่มหลังจากนั้นอีก 2 แห่ง
</t>
        </r>
      </text>
    </comment>
    <comment ref="AB11" authorId="0">
      <text>
        <r>
          <rPr>
            <sz val="9"/>
            <color indexed="81"/>
            <rFont val="Tahoma"/>
            <family val="2"/>
          </rPr>
          <t xml:space="preserve">ไม่วางแผน 1 แห่ง ได้แก่ สอ.ค่ายอิงคยุทธบริหาร จำกัด (ปีบัญชี 30 ก.ย.)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อีก 1 แห่ง  วางใน PA2</t>
        </r>
      </text>
    </comment>
    <comment ref="E12" authorId="0">
      <text>
        <r>
          <rPr>
            <sz val="9"/>
            <color indexed="81"/>
            <rFont val="Tahoma"/>
            <family val="2"/>
          </rPr>
          <t xml:space="preserve">ณ 30 ก.ย. 57  สถานะปรับเปลี่ยน 20 แห่ง  แต่วางแผนเพิ่มหลังจากนั้นอีก 1 แห่ง
</t>
        </r>
      </text>
    </comment>
    <comment ref="AD12" authorId="0">
      <text>
        <r>
          <rPr>
            <sz val="9"/>
            <color indexed="81"/>
            <rFont val="Tahoma"/>
            <family val="2"/>
          </rPr>
          <t>ณ 14 กันยายน 2558  ผลงานจำนวน 41 แห่ง  เนื่องจากคีย์ผลงานล่วงหน้า (25 ก.ย. 58) จำนวน 2 แห่ง ได้แก่ 
- สหกรณ์โคนมพัทลุง จำกัด
- กลุ่มฯ ทำนาตะโหมด</t>
        </r>
      </text>
    </comment>
    <comment ref="E13" authorId="0">
      <text>
        <r>
          <rPr>
            <b/>
            <sz val="9"/>
            <color indexed="81"/>
            <rFont val="Tahoma"/>
            <family val="2"/>
          </rPr>
          <t>ไม่วางแผน 1 แห่ง (ใช้โปรแกรมอิสลาม)</t>
        </r>
      </text>
    </comment>
    <comment ref="AC13" authorId="0">
      <text>
        <r>
          <rPr>
            <sz val="9"/>
            <color indexed="81"/>
            <rFont val="Tahoma"/>
            <family val="2"/>
          </rPr>
          <t xml:space="preserve">ไม่วางแผน 1 แห่ง ได้แก่ สอ.ตำรวจตระเวนชายแดนที่ 44 จำกัด (ปีบัญชี 30 ก.ย.)
</t>
        </r>
      </text>
    </comment>
    <comment ref="E15" authorId="0">
      <text>
        <r>
          <rPr>
            <sz val="9"/>
            <color indexed="81"/>
            <rFont val="Tahoma"/>
            <family val="2"/>
          </rPr>
          <t xml:space="preserve">ณ 30 ก.ย. 57  สถานะปรับเปลี่ยน 21 แห่ง  แต่วางแผนเพิ่มหลังจากนั้นอีก 1 แห่ง
</t>
        </r>
      </text>
    </comment>
  </commentList>
</comments>
</file>

<file path=xl/comments2.xml><?xml version="1.0" encoding="utf-8"?>
<comments xmlns="http://schemas.openxmlformats.org/spreadsheetml/2006/main">
  <authors>
    <author>uraiwan</author>
  </authors>
  <commentList>
    <comment ref="M14" authorId="0">
      <text>
        <r>
          <rPr>
            <b/>
            <sz val="9"/>
            <color indexed="81"/>
            <rFont val="Tahoma"/>
            <family val="2"/>
          </rPr>
          <t>31 มี.ค. 58  ย้ายไป 2/1  จำนวน 1 แห่ง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" authorId="0">
      <text>
        <r>
          <rPr>
            <sz val="9"/>
            <color indexed="81"/>
            <rFont val="Tahoma"/>
            <family val="2"/>
          </rPr>
          <t xml:space="preserve">ในระบบ PA2  =  57 แห่ง  เนื่องจากมีซ้ำ 1 สหกรณ์ (สกก.เทพา จำกัด)  วางแผนไว้ 2 ผู้สอบบัญชี (นายสิน แก้วบุตร และนางสาวละไม้ จันมา)
</t>
        </r>
      </text>
    </comment>
  </commentList>
</comments>
</file>

<file path=xl/comments3.xml><?xml version="1.0" encoding="utf-8"?>
<comments xmlns="http://schemas.openxmlformats.org/spreadsheetml/2006/main">
  <authors>
    <author>AUDDIV9-19</author>
    <author>uraiwan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 xml:space="preserve">
สถานภาพ : อาจถูกสั่งเลิก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เดิม 11 แห่ง  ณ 30 มิ.ย. 58  เหลือ 6 แห่ง (เปลี่ยนสถานะ 5 แห่ง)</t>
        </r>
      </text>
    </comment>
  </commentList>
</comments>
</file>

<file path=xl/comments4.xml><?xml version="1.0" encoding="utf-8"?>
<comments xmlns="http://schemas.openxmlformats.org/spreadsheetml/2006/main">
  <authors>
    <author>uraiwan</author>
  </authors>
  <commentList>
    <comment ref="B12" authorId="0">
      <text>
        <r>
          <rPr>
            <sz val="9"/>
            <color indexed="81"/>
            <rFont val="Tahoma"/>
            <family val="2"/>
          </rPr>
          <t xml:space="preserve">หน้าสรุป กับหน้ารายละเอียด ไม่ตรงกัน
</t>
        </r>
      </text>
    </comment>
  </commentList>
</comments>
</file>

<file path=xl/sharedStrings.xml><?xml version="1.0" encoding="utf-8"?>
<sst xmlns="http://schemas.openxmlformats.org/spreadsheetml/2006/main" count="695" uniqueCount="290">
  <si>
    <t>สำนักงานตรวจบัญชีสหกรณ์ที่ 9</t>
  </si>
  <si>
    <t>ไตรมาส</t>
  </si>
  <si>
    <t>รวม</t>
  </si>
  <si>
    <t>ผล</t>
  </si>
  <si>
    <t>แผนงาน</t>
  </si>
  <si>
    <t>ภาพรวม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</si>
  <si>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</si>
  <si>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</si>
  <si>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</si>
  <si>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</si>
  <si>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</si>
  <si>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</si>
  <si>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</si>
  <si>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สตส.</t>
  </si>
  <si>
    <t>แห่ง</t>
  </si>
  <si>
    <t xml:space="preserve"> สำนักงานตรวจบัญชีสหกรณ์ที่ 9</t>
  </si>
  <si>
    <t>กิจกรรมสอบบัญชีประจำปี</t>
  </si>
  <si>
    <t>งานสอบบัญชี  (PA-RA1)</t>
  </si>
  <si>
    <t>งานสอบบัญชีระหว่างปี</t>
  </si>
  <si>
    <t>งานสอบบัญชีประจำปี (แสดงความเห็นต่องบการเงิน)</t>
  </si>
  <si>
    <t>แผนงาน (แห่ง)</t>
  </si>
  <si>
    <t>จำนวน</t>
  </si>
  <si>
    <t>แผนงาน (ครั้ง)</t>
  </si>
  <si>
    <t>ผลงาน</t>
  </si>
  <si>
    <t>กิจกรรมติดตามความเคลื่อนไหว</t>
  </si>
  <si>
    <t>ร้อยละ</t>
  </si>
  <si>
    <t>แผนสะสม</t>
  </si>
  <si>
    <t xml:space="preserve"> </t>
  </si>
  <si>
    <t>งานสอนแนะ/อบรม  (PA-RA 2)</t>
  </si>
  <si>
    <t>ผลการติดตาม</t>
  </si>
  <si>
    <t>อยู่ระหว่างการพิจารณาของ นทส.</t>
  </si>
  <si>
    <t>นทส.พิจารณาให้ฟื้นฟู</t>
  </si>
  <si>
    <t>นทส.สั่งเลิกแล้ว</t>
  </si>
  <si>
    <t>ครั้ง</t>
  </si>
  <si>
    <t>สตท.</t>
  </si>
  <si>
    <t>การเข้าโครงการ EWP</t>
  </si>
  <si>
    <t>แผน</t>
  </si>
  <si>
    <t>การดำเนินงาน</t>
  </si>
  <si>
    <t>กิจกรรมกำกับสหกรณ์</t>
  </si>
  <si>
    <t>กิจกรรมเข้าร่วมประชุม</t>
  </si>
  <si>
    <t>คณะกรรมการ</t>
  </si>
  <si>
    <t>ประชุมใหญ่</t>
  </si>
  <si>
    <t>กิจกรรมวางแผนการสอบบัญชี</t>
  </si>
  <si>
    <t>กิจกรรมประเมินมาตรฐานสำนักงาน</t>
  </si>
  <si>
    <t>กิจกรรมประเมินคุณภาพการปฏิบัติงานของผู้สอบบัญชี</t>
  </si>
  <si>
    <t>แผนงาน (ชิ้นงาน)</t>
  </si>
  <si>
    <t xml:space="preserve">  </t>
  </si>
  <si>
    <t>กิจกรรมให้คำแนะนำในการวางระบบบัญชีและระบบการควบคุมภายใน</t>
  </si>
  <si>
    <t>ออกแบบระบบ</t>
  </si>
  <si>
    <t>ชิ้นงาน</t>
  </si>
  <si>
    <t>วางรูปแบบบัญชีและการควบคุมภายใน</t>
  </si>
  <si>
    <t>สรุปผลการวางระบบ</t>
  </si>
  <si>
    <t>ผลการเข้ากำกับ</t>
  </si>
  <si>
    <t>มีข้อสังเกต</t>
  </si>
  <si>
    <t>ไม่มีข้อสังเกต</t>
  </si>
  <si>
    <t>จำนวนที่พร้อมตรวจสอบ จากระบบ CAD_Audit</t>
  </si>
  <si>
    <t>RA1/1</t>
  </si>
  <si>
    <t>(สก./ก. ที่เปลี่ยนสถานะภาพเป็นไม่ต้องตรวจสอบ)</t>
  </si>
  <si>
    <t>RA1/2</t>
  </si>
  <si>
    <t>(สก. ที่จ้างผู้สอบบัญชีภาคเอกชน)</t>
  </si>
  <si>
    <t>ทำไม่ได้</t>
  </si>
  <si>
    <t>หมายเหตุ</t>
  </si>
  <si>
    <t>จำนวนผู้สอบ</t>
  </si>
  <si>
    <t>RA2/1</t>
  </si>
  <si>
    <t xml:space="preserve">งานสอนแนะ </t>
  </si>
  <si>
    <t>(เปลียนสถานภาพเป็นไม่ต้องตรวจ)</t>
  </si>
  <si>
    <t>วางแผนการสอบบัญชี</t>
  </si>
  <si>
    <t>ประชุม 3 ฝ่าย</t>
  </si>
  <si>
    <t>มีผู้รับผิดชอบจัดทำบัญชี</t>
  </si>
  <si>
    <t>จำนวนสหกรณ์/กลุ่มฯ ที่อาจถูกสั่งเลิก</t>
  </si>
  <si>
    <t>วิเคราะห์ลักษณะธุรกิจ</t>
  </si>
  <si>
    <t>จำนวนสหกรณ์ที่จ้าง CPA</t>
  </si>
  <si>
    <t>กิจกรรมสอบบัญชีระหว่างปี</t>
  </si>
  <si>
    <t>การควบคุมคุณภาพงานสอบบัญชี - ผู้สอบบัญชีสหกรณ์ภาคเอกชน  (PB - RB3)</t>
  </si>
  <si>
    <t>ร้อยละ (เทียบผลงานวางรูป)</t>
  </si>
  <si>
    <t>งานสอบบัญชีสหกรณ์ถ่ายโอน - โดยภาคเอกชน    (PB - RB1)</t>
  </si>
  <si>
    <t xml:space="preserve"> - สหกรณ์ออมทรัพย์ครูนราธิวาส จำกัด (134)  แผน ธ.ค. 57</t>
  </si>
  <si>
    <t xml:space="preserve"> - สหกรณ์ออมทรัพย์ตำรวจพัทลุง จำกัด (158)  แผน พ.ย. 57</t>
  </si>
  <si>
    <t xml:space="preserve"> - สอ.ตำรวจจังหวัดชายแดนภาคใต้ จำกัด (4454)  แผน พ.ย. 57</t>
  </si>
  <si>
    <t xml:space="preserve"> - สหกรณ์ออมทรัพย์ตำรวจภูธรจังหวัดยะลา จำกัด (6184)  แผน ธ.ค. 57</t>
  </si>
  <si>
    <t xml:space="preserve"> - สหกรณ์ออมทรัพย์โรงพยาบาลยะลา จำกัด (7630)  แผน พ.ย. 57</t>
  </si>
  <si>
    <t xml:space="preserve"> - สหกรณ์ออมทรัพย์สาธารณสุขจังหวัดยะลา จำกัด (8777)  แผน พ.ย. 57</t>
  </si>
  <si>
    <t xml:space="preserve"> - สหกรณ์ออมทรัพย์ตำรวจสงขลา จำกัด (237) แผน ต.ค. 57</t>
  </si>
  <si>
    <t xml:space="preserve"> - สหกรณ์ออมทรัพย์นครหาดใหญ่ จำกัด (11639) แผน ต.ค. 57</t>
  </si>
  <si>
    <t xml:space="preserve"> - สหกรณ์เครดิตยูเนี่ยนบ้านป่าชิง จำกัด (16680)  แผน ต.ค. 57</t>
  </si>
  <si>
    <t xml:space="preserve"> - สหกรณ์เครดิตยูเนี่ยนบ้านโคกม่วง จำกัด (3360)  แผน ต.ค. 57 / พ.ย. 57</t>
  </si>
  <si>
    <t>ตกแผน 1 ครั้ง ได้แก่</t>
  </si>
  <si>
    <t>ตกแผน 4 ครั้ง ได้แก่</t>
  </si>
  <si>
    <t xml:space="preserve"> - สหกรณ์ออมทรัพย์ครูสตูล จำกัด (145)  แผน ธ.ค. 57</t>
  </si>
  <si>
    <r>
      <t xml:space="preserve">งานกำกับสหกรณ์ที่มอบหมายให้ภาคเอกชน - กรณีปกติ   (PB - RB2)    </t>
    </r>
    <r>
      <rPr>
        <b/>
        <u/>
        <sz val="11"/>
        <color rgb="FFFF0000"/>
        <rFont val="Tahoma"/>
        <family val="2"/>
        <scheme val="minor"/>
      </rPr>
      <t xml:space="preserve"> </t>
    </r>
  </si>
  <si>
    <t>ตกแผน 2 แห่ง ได้แก่</t>
  </si>
  <si>
    <t xml:space="preserve"> - สหกรณ์ออมทรัพย์ตำรวจสงขลา จำกัด (237) - แผน ต.ค. 57</t>
  </si>
  <si>
    <t xml:space="preserve"> - สหกรณ์ออมทรัพย์โรงพยาบาลยะลา จำกัด (7630) -- แผน ม.ค. 58</t>
  </si>
  <si>
    <t xml:space="preserve"> - สหกรณ์เครดิตยูเนี่ยนบ้านโคกม่วง จำกัด (3360) -- แผน ม.ค. 58</t>
  </si>
  <si>
    <t xml:space="preserve"> - สหกรณ์ออมทรัพย์กองบิน 56 จำกัด (8746)  แผน ม.ค. 58</t>
  </si>
  <si>
    <t>ตกแผน 1 แห่ง ได้แก่</t>
  </si>
  <si>
    <t xml:space="preserve"> - สหกรณ์ออมทรัพย์ครูนราธิวาส จำกัด (134) -- แผน ม.ค. 58</t>
  </si>
  <si>
    <t xml:space="preserve"> - สหกรณ์ออมทรัพย์สาธารณสุขนราธิวาส จำกัด  (6490) -- แผน ก.พ. 58</t>
  </si>
  <si>
    <t>งานสอบบัญชีประจำปี  ตกแผน 9 แห่ง</t>
  </si>
  <si>
    <t>ตกแผน 3 แห่ง ได้แก่</t>
  </si>
  <si>
    <t xml:space="preserve"> - สหกรณ์ออมทรัพย์ตำรวจจังหวัดชายแดนภาคใต้ จำกัด (4454) -- แผน ม.ค. 58</t>
  </si>
  <si>
    <t xml:space="preserve"> - สหกรณ์ออมทรัพย์ตำรวจภูธรจังหวัดยะลา จำกัด (6184) -- แผน ก.พ. 58</t>
  </si>
  <si>
    <t xml:space="preserve"> - สหกรณ์ออมทรัพย์นครหาดใหญ่ จำกัด (11639) -- แผน ก.พ. 58</t>
  </si>
  <si>
    <t xml:space="preserve"> - สหกรณ์อิบนูเอาฟ จำกัด (3422) -- แผน ก.พ. 58</t>
  </si>
  <si>
    <t>ตกแผน 2 ครั้ง ได้แก่</t>
  </si>
  <si>
    <t xml:space="preserve"> - สหกรณ์ออมทรัพย์ครูปัตตานี จำกัด (99) -- แผน พ.ย./ธ.ค. 58</t>
  </si>
  <si>
    <t>ตกแผน  6 ครั้ง ได้แก่</t>
  </si>
  <si>
    <t>งานสอบบัญชีระหว่างปี  ตกแผน 15 ครั้ง</t>
  </si>
  <si>
    <t>ร้อยละ (เทียบแผนสะสม)</t>
  </si>
  <si>
    <t>สก. จัดประชุม/เข้าร่วมประชุม (แห่ง)</t>
  </si>
  <si>
    <t xml:space="preserve">ไม่มีผู้รับผิดชอบจัดทำบัญชี </t>
  </si>
  <si>
    <t>การใช้โปรแกรม CATS ช่วยตรวจสอบบัญชี</t>
  </si>
  <si>
    <t>ปัตตานี  - ไม่วางแผนสอบบัญชี + ระหว่างปี 1 แห่ง   ได้แก่</t>
  </si>
  <si>
    <t>ยะลา  - ไม่วางแผนระหว่างปี   1 แห่ง   ได้แก่</t>
  </si>
  <si>
    <t>ทำบัญชีได้แต่ทำงบการเงินไม่ได้</t>
  </si>
  <si>
    <t>ทำบัญชีและงบการเงินไม่ได้</t>
  </si>
  <si>
    <t>ดำเนินธุรกิจ</t>
  </si>
  <si>
    <t>ไม่ดำเนินธุรกิจ</t>
  </si>
  <si>
    <t>ไม่มีแผนฟื้นฟู</t>
  </si>
  <si>
    <t>ติดตามการดำเนินการของสหกรณ์</t>
  </si>
  <si>
    <t>จำนวนสหกรณ์จัดตั้งใหม่ (Cad_Audit)</t>
  </si>
  <si>
    <t xml:space="preserve"> - กลุ่มเกษตรกรชาวสวนยางบ้านทุ่งน้อย  (19193)  ปีบัญชี 31 พ.ค.   --- จดทะเบียน 20 ต.ค. 58</t>
  </si>
  <si>
    <t>จัดตั้งใหม่  6 แห่ง ได้แก่</t>
  </si>
  <si>
    <t xml:space="preserve"> - สหกรณ์การเกษตรบ้านแพรกหา จำกัด  (19086)   ปีบัญชี 31 ธ.ค.  --- จดทะเบียน 9 มิ.ย. 58</t>
  </si>
  <si>
    <t xml:space="preserve"> - สหกรณ์แท็กซี่มิเตอร์สงขลา จำกัด  (19178)   ปีบัญชี  31 ธ.ค.  --- จดทะเบียน 17 ก.ย. 58</t>
  </si>
  <si>
    <t xml:space="preserve"> - สหกรณ์องค์กรปกครองส่วนท้องถิ่นจังหวัดสงขลา จำกัด (19012)  ปีบัญชี 31 ต.ค. --- จดทะเบียน 9 ก.พ. 58</t>
  </si>
  <si>
    <t>งานวางระบบบัญชีและการควบคุมภายใน   (PA-RA 3)</t>
  </si>
  <si>
    <r>
      <t>งานติดตามผลการเสนอเลิก  (PA-RA 4)</t>
    </r>
    <r>
      <rPr>
        <b/>
        <sz val="11"/>
        <rFont val="Tahoma"/>
        <family val="2"/>
      </rPr>
      <t xml:space="preserve"> </t>
    </r>
  </si>
  <si>
    <t>กิจกรรมสอนแนะการจัดทำบัญชี</t>
  </si>
  <si>
    <t>ผลการสอนแนะ</t>
  </si>
  <si>
    <t>ทำบัญชีได้</t>
  </si>
  <si>
    <t>ทำบัญชีและงบการเงินได้</t>
  </si>
  <si>
    <t>สามารถสอบบัญชีได้</t>
  </si>
  <si>
    <t>สอบบัญชีได้</t>
  </si>
  <si>
    <t>%</t>
  </si>
  <si>
    <t>งานติดตามการควบคุมคุณภาพงานสอบบัญชี - ภาครัฐ   (PA - RA5)</t>
  </si>
  <si>
    <t>ประสานกับสหกรณ์จังหวัด เพื่อยืนยันสถานะของสหกรณ์/กลุ่มเกษตรกร</t>
  </si>
  <si>
    <t>1. กรณีมีเปลี่ยนแปลงสถานะ  - สอนแนะการจัดทำบัญชี</t>
  </si>
  <si>
    <t>ไตรมาส 1</t>
  </si>
  <si>
    <t xml:space="preserve">     ** อนึ่ง หากสามารถสอบบัญชีได้ให้สอบบัญชีประจำปี</t>
  </si>
  <si>
    <t xml:space="preserve">2. กรณีไม่มีการเปลี่ยนแปลงสถานะ  </t>
  </si>
  <si>
    <t xml:space="preserve">     - เสนอคณะกรรมการแก้ไขปัญหาระดับจังหวัด (จกบ.) พิจารณา</t>
  </si>
  <si>
    <t xml:space="preserve">     - กรณีไม่มีการดำเนินการใดๆ ให้สรุปผลการติดตามเสนอ ผอ. สตท.</t>
  </si>
  <si>
    <t>ภายในเดือนพฤษภาคม</t>
  </si>
  <si>
    <t>สรุปผลการติดตามเสนอกรมฯ  เพื่อบูรณาการร่วมกับกรมส่งเสริมสหรกณ์ในการแก้ไขปัญหา</t>
  </si>
  <si>
    <t>ภายในเดือนมิถุนายน</t>
  </si>
  <si>
    <t>ติดตามการควบคุมคุณภาพงานสอบบัญชีของสำนักงานตรวจบัญชีสหกรณ์และสำนักงานสอบบัญชีภาคเอกชน</t>
  </si>
  <si>
    <t>ภายในเดือนกรกฎาคม</t>
  </si>
  <si>
    <t xml:space="preserve">          </t>
  </si>
  <si>
    <t xml:space="preserve">        1. ประเมินมาตรฐานสำนักงาน  (นำร่องปี 2559 สำหรับ สนง.สอบบัญชีภาคเอกชน สตท.ละ 1 แห่ง)</t>
  </si>
  <si>
    <t>แห่งละ 1 ครั้ง  ยกเว้นสำนักงานสอบบัญชีสหกรณ์ในเขต กทม. ให้เป็นไปตามพื้นที่กำกับสหกรณ์</t>
  </si>
  <si>
    <t xml:space="preserve">        2. ประเมินผลงานของผู้สอบบัญชี  รายละอย่างน้อย 1 ชิ้นงาน  ยกเว้นสำนักงานสอบบัญชีสหกรณ์ในเขต</t>
  </si>
  <si>
    <t>กทม. ให้เป็นไปตามพื้นที่กำกับสหกรณ์</t>
  </si>
  <si>
    <t>ภายใน 15 - 20 วัน นับแต่ลงทะเบียนรับงาน</t>
  </si>
  <si>
    <t>ผ่าน สมช.</t>
  </si>
  <si>
    <t xml:space="preserve">        3. สรุปผลการประเมินมาตรฐานสำนักงานและการควบคุมคุณภาพงานของผู้สอบบัญชีในภาพรวม เสนอ อตส. </t>
  </si>
  <si>
    <t>ภายในเดือนสิงหาคม</t>
  </si>
  <si>
    <t>(เฉพาะยากมาก/มากที่สุด = 20 วัน)</t>
  </si>
  <si>
    <t>งานพัฒนาระบบบัญชีและระบบการควบคุมภายใน   (PA - RA6)</t>
  </si>
  <si>
    <t>(ผชช)</t>
  </si>
  <si>
    <t>1. กำหนดเป้าหมายสหกรณ์ที่มีขนาดใหญ่ มีธุรกิจที่ซับซ้อน/มีสาขาหรือสหกรณ์ที่มีแนวโน้มดำเนินการไม่เป็นไปตามกรอบวัตถุประสงค์</t>
  </si>
  <si>
    <t>2. วิเคราะห์ลักษณะธุรกิจ  ระบบบัญชีและการควบคุมภายในของสหกรณ์ในปัจจุบัน</t>
  </si>
  <si>
    <t>3. ออกแบบระบบบัญชีและการควบคุมภายในให้สหกรณ์เป้าหมายตามที่ออกแบบ</t>
  </si>
  <si>
    <t>4. จัดทำรายงานผลงานทางวิชาการเสนอกรมตรวจบัญชีสหกรณ์</t>
  </si>
  <si>
    <t>งานพิสูจน์ความมีอยู่จริงของลูกหนี้ หุ้น และเงินรับฝาก   (PA - RA7)</t>
  </si>
  <si>
    <t>จำนวนสมาชิกทั้งหมด</t>
  </si>
  <si>
    <t>ณ 30 ก.ย. 58</t>
  </si>
  <si>
    <t>วิธีการยืนยันยอด</t>
  </si>
  <si>
    <t>สอบทานยอดโดยตรง</t>
  </si>
  <si>
    <t>ไปรษณีย์ตอบรับ</t>
  </si>
  <si>
    <t>การยืนยันยอด (จำนวนคน)</t>
  </si>
  <si>
    <t>กิจกรรมการจัดทำทะเบียนรายชื่อและเลือกกลุ่มเป้าหมาย (แห่ง)</t>
  </si>
  <si>
    <t>โดยตรง</t>
  </si>
  <si>
    <t>ไปรษณีย์</t>
  </si>
  <si>
    <t>ไม่ทักท้วง</t>
  </si>
  <si>
    <t>ทักท้วง</t>
  </si>
  <si>
    <t>(ผู้สอบบัญชี)</t>
  </si>
  <si>
    <t>1. กำหนดเป้าหมายจำนวนสมาชิกในปีแรกอย่างน้อย 20% ของสมาชิกทั้งหมดในแต่ละสหกรณ์ และดำเนินการให้ครบ 100%  ภายใน 5 ปี  (2559 - 2563)</t>
  </si>
  <si>
    <t>2. เลือกรายชื่อสมาชิกสหกรณ์ที่จะทำการยืนยันยอด</t>
  </si>
  <si>
    <t>3. กำหนดวิธีการยืนยันยอดที่ถูกต้องตามมาตรฐานการสอบบัญชี  และเหมาะสมตามสภาพของสหกรณ์</t>
  </si>
  <si>
    <t>4. ดำเนินการยืนยันยอดสมาชิกในสหกรณ์เป้าหมาย เพื่อพิสูจน์ความมีอยู่จริงของข้อมูลในงบการเงิน</t>
  </si>
  <si>
    <t>5. ประเมินผลการยืนยันยอด</t>
  </si>
  <si>
    <t>กรณีพบความผิดปกติ</t>
  </si>
  <si>
    <t xml:space="preserve"> - พิจารณาขยายขอบเขตการตรวจสอบบัญชี</t>
  </si>
  <si>
    <t xml:space="preserve"> - รายงานหัวหน้าสำนักงานเพื่อพิจารณาดำเนินการตามความเหมาะสม</t>
  </si>
  <si>
    <t>6. จัดทำฐานข้อมูลสมาชิกสหกรณ์ที่ยืนยันยอดแล้ว ให้ถูกต้องและเป็นปัจจุบัน</t>
  </si>
  <si>
    <t>หตส.</t>
  </si>
  <si>
    <t>1. กำกับดูแลการยืนยันยอดให้เป็นไปตามเป้าหมายและจัดทำฐานข้อมูลให้ถูกต้อง เป็นปัจจุบัน</t>
  </si>
  <si>
    <t>2. สร้างความตระหนักและควบคุมให้มีการยืนยันยอดอย่างมีประสิทธิภาพ</t>
  </si>
  <si>
    <t>3. ประสานทำความเข้าใจสหกรณ์ให้เห็นความสำคัญของการยืนยันยอด</t>
  </si>
  <si>
    <t>กำกับดูแลการปฏิบัติงานของสำนักงานในพื้นที่</t>
  </si>
  <si>
    <t>การวิเคราะห์ข้อมูลการทำธุรกรรมเชิงลึกของสหกรณ์ - Scan ธุรกรรมสหกรณ์   (PA - RA8)</t>
  </si>
  <si>
    <t>กิจกรรมวางแผนร่วมกับทีมงาน (แห่ง)</t>
  </si>
  <si>
    <t>กิจกรรมเข้าวิเคราะห์ข้อมูล</t>
  </si>
  <si>
    <t>การนำข้อมูลไปใช้</t>
  </si>
  <si>
    <t>ประเมินความเสี่ยง</t>
  </si>
  <si>
    <t>การจัดทำแผนการสอบบัญชีโดยรวม</t>
  </si>
  <si>
    <t>แนวการสอบบัญชี</t>
  </si>
  <si>
    <t>แฟ้มประวัติสก.มีการ Update ข้อมูลเป็นปัจจุบัน</t>
  </si>
  <si>
    <t>ดำเนินการเมื่อได้รับมอบหมายงาน</t>
  </si>
  <si>
    <t>1. ศึกษาข้อมูลเบื้องต้นจากรายงานการสอบบัญชีและกระดาษทำการปีก่อน</t>
  </si>
  <si>
    <t>2. วางแผนเข้าวิเคราะห์ข้อมูลการทำธุรกรรมเชิงลึกของสหกรณ์ในความรับผิดชอบร่วมกับทีมงาน</t>
  </si>
  <si>
    <t>3. เข้าวิเคราะห์ข้อมูลการทำธุรกรรมเชิงลึกของสหกรณ์</t>
  </si>
  <si>
    <t>4. สรุปผลการวิเคราะห์ข้อมูลการทำธุรกรรมเชิงลึกรายสหกรณ์ร่วมกับ หน.สตส.</t>
  </si>
  <si>
    <t>5. นำผลการวิเคราะห์ข้อมูลการทำธุรกรรมเชิงลึกของสหกณ์ไปใช้ในการประเมินความเสี่ยงและการจัดทำแผนการสอบบัญชีโดยรวม และแนวการสอบบัญชี</t>
  </si>
  <si>
    <t>6. เก็บข้อมูลเข้าแฟ้มประวัติสหกรณ์</t>
  </si>
  <si>
    <t>7. ทบทวน และ Update  ข้อมูลในแฟ้มประวัติสหกรณ์ให้เป็นปัจจุบันทุกครั้งที่เข้าสอบบัญชีเมื่อมีข้อมูลใหม่ระหว่างปี และประจำปี</t>
  </si>
  <si>
    <t>1. ร่วมสรุปผลการวิเคราะห์ข้อมูลการทำธุรกรรมเชิงลึกของสหกรณ์กับผู้สอบบัญชี</t>
  </si>
  <si>
    <t>2. ควบคุมการทำธุรกรรมเชิงลึกของสหกรณ์ให้เป็นไปอย่างมีประสิทธิภาพ</t>
  </si>
  <si>
    <t>กำกับดูแลและให้การสนับสนุนการปฏิบัติงานของสำนักงานตรวจบัญชีสหกรณ์ในสังกัด</t>
  </si>
  <si>
    <t>การตรวจสอบสหกรณ์มีปัญหาพิเศษ   (RA9)</t>
  </si>
  <si>
    <t>วันที่รับทราบปัญหาพิเศษ</t>
  </si>
  <si>
    <t>ผลการดำเนินงาน</t>
  </si>
  <si>
    <t>จัดตั้งคณะทำงาน</t>
  </si>
  <si>
    <t>ศึกษาข้อเท็จจริง</t>
  </si>
  <si>
    <t>วันที่วางแผนงาน</t>
  </si>
  <si>
    <t>วันที่เข้าปฏิบัติงานในพื้นที่</t>
  </si>
  <si>
    <t>วันที่ปฏิบัติงานแล้วเสร็จ</t>
  </si>
  <si>
    <t>วันที่เสนอรายงานกรม</t>
  </si>
  <si>
    <t>1. รายงานสถานการณ์การเกิดปัญหาทุจริต/ข้อบกพร่องทางการเงินการบัญชี/ปัญหาพิเศษ</t>
  </si>
  <si>
    <t>2. ร่วมดำเนินการกับคณะทำงานตรวจสอบเฉพาะกิจ</t>
  </si>
  <si>
    <t xml:space="preserve">รับผิดชอบสหกรณ์ที่สอบบัญชีโดยผู้สอบบัญชีภาครัฐและภาคเอกชน </t>
  </si>
  <si>
    <t>การดำเนินการ</t>
  </si>
  <si>
    <t>1. จัดตั้งคณะทำงานตรวจสอบเฉพาะกิจ</t>
  </si>
  <si>
    <t>2. ศึกษาข้อเท็จจริงที่เกิดขึ้น</t>
  </si>
  <si>
    <t>3. วางแผนงาน ออกแบบวิธีการทำงาน</t>
  </si>
  <si>
    <t>4. ปฏิบัติการตรวจสอบ</t>
  </si>
  <si>
    <t>5. รายงานความก้าวหน้าต่ออธิบดีกรมตรวจบัญชีสหกรณ์จนกว่าจะแล้วเสร็จ</t>
  </si>
  <si>
    <t>สอบบัญชีระหว่างปี</t>
  </si>
  <si>
    <t>สอบบัญชีประจำปี</t>
  </si>
  <si>
    <t>งานสอบบัญชีสหกรณ์โดยผู้สอบบัญชีภาคเอกชน  (PB - RB1)</t>
  </si>
  <si>
    <t>1. กำกับสหกรณ์ ไม่น้อยกว่าร้อยละ 35  ของจำนวนสหกรณ์ที่จัดจ้างผู้สอบบัญชีภาคเอกชนในพื้นที่รับผิดชอบ</t>
  </si>
  <si>
    <t>2. เข้าร่วมประชุมคณะกรรมการ/ประชุมใหญ่</t>
  </si>
  <si>
    <t>3. รายงานผลการปฏิบัติงานในระบบ Cad_Plan/รายงานผลการกำกับสหกรณ์ต่อผู้บังคับบัญชาตามสายงาน</t>
  </si>
  <si>
    <t>4. กรณีมีข้อสังเกต/ข้อบกพร่อง  ให้ดำเนินการตามระเบียบนายทะเบียนสหกรณ์ ว่าด้วยการสั่งการให้สหกรณ์แก้ไขข้อบกพร่องเกี่ยวกับการเงิน</t>
  </si>
  <si>
    <t xml:space="preserve">    การบัญชี  และการรายงานการใช้อำนาจของนายทะเบียนสหกรณ์ พ.ศ.2556</t>
  </si>
  <si>
    <t>ติดตามการกำกับสหกรณ์ของ สตส.ในพื้นที่</t>
  </si>
  <si>
    <t>ประเมินมาตรฐานสำนักงาน</t>
  </si>
  <si>
    <t>ประเมินคุณภาพการปฏิบัติงานของผู้สอบบัญชีภาคเอกชน</t>
  </si>
  <si>
    <t>แผนงาน (ราย)</t>
  </si>
  <si>
    <t>ราย</t>
  </si>
  <si>
    <t>จำนวนชิ้นงาน</t>
  </si>
  <si>
    <t>การเตรียมความพร้อมและมอบหมายงานให้ผู้สอบบัญชีภาคเอกชนตรวจสอบบัญชี  (PB - RB4)</t>
  </si>
  <si>
    <t>เสริมสร้างความเข้าใจ</t>
  </si>
  <si>
    <t>สถานะกลุ่ม</t>
  </si>
  <si>
    <t>กลุ่มเตรียมความพร้อม</t>
  </si>
  <si>
    <t>กลุ่มพร้อมถ่ายโอน</t>
  </si>
  <si>
    <t>ผลการเสริมสร้าง</t>
  </si>
  <si>
    <t>จัดจ้าง</t>
  </si>
  <si>
    <t>ไม่จัดจ้าง</t>
  </si>
  <si>
    <t xml:space="preserve"> - สหกรณ์การเกษตรตันหยงโป-ฉลุงร่วมใจ จำกัด (19172)  ปีบัญชี 31 มี.ค.  --- จดทะเบียน 23 กรกฎาคม 2558</t>
  </si>
  <si>
    <t>ย้ายไป 4/1</t>
  </si>
  <si>
    <t>กิจกรรมสอนแนะ  (แห่ง)</t>
  </si>
  <si>
    <t>สอนแนะกลุ่มจัดประชุม 3 ฝ่าย</t>
  </si>
  <si>
    <t>รวมสอนแนะ</t>
  </si>
  <si>
    <r>
      <t xml:space="preserve"> - สหกรณ์การเกษตรอิหซานจะรัง จำกัด (19188)   ปีบัญชี 30 มิ.ย.  --- จดทะเบียน 9 ต.ค. 58 ---&gt;</t>
    </r>
    <r>
      <rPr>
        <sz val="11"/>
        <color rgb="FFFF0000"/>
        <rFont val="Tahoma"/>
        <family val="2"/>
      </rPr>
      <t xml:space="preserve"> ยังไม่วางแผนในระบบ Cad_Plan</t>
    </r>
  </si>
  <si>
    <t>กิจกรรมวางรูปแบบ</t>
  </si>
  <si>
    <t>กิจกรรมการวางระบบบัญชี และการควบคุมภายใน</t>
  </si>
  <si>
    <t>1. สหกรณ์ออมทรัพย์ค่ายอิงคยุทธบริหาร จำกัด (8800)   --- ปีบัญชี 30 ก.ย.58  เนื่องจากสอบบัญชีระหว่างปีไปแล้วในปีงบประมาณ 2558    และหลังจากแสดงความเห็นต่องบการเงินแล้วนั้น</t>
  </si>
  <si>
    <t xml:space="preserve">    จะโอนออกภาคเอกชน  สำหรับปีบัญชี 30 ก.ย. 59</t>
  </si>
  <si>
    <t>แผน (เดิม)</t>
  </si>
  <si>
    <t>จำนวน สก. ที่มอบหมายให้ผู้สอบบัญชีภาคเอกชน (Cad_Audit)</t>
  </si>
  <si>
    <t xml:space="preserve"> ** สหกรณ์ออมทรัพย์ตำรวจตระเวนชายแดนที่ 44 จำกัด (8744)</t>
  </si>
  <si>
    <t>1. สหกรณ์ออมทรัพย์ตำรวจตระเวนชายแดนที่ 44 จำกัด (8744) --- ปีบัญชี 30 ก.ย.   เตรียมโอนออกภาคเอกชน</t>
  </si>
  <si>
    <t>กิจกรรมสอนแนะ</t>
  </si>
  <si>
    <t>ตกแผน 1 แห่ง ได้แก่ สกย.อ่าวขนมโค จำกัด -- เนื่องจากพนักงานบัญชีลาออก</t>
  </si>
  <si>
    <t>งานสอบบัญชีประจำปี</t>
  </si>
  <si>
    <t xml:space="preserve">พัทลุง  </t>
  </si>
  <si>
    <t xml:space="preserve">ตกแผน 1 แห่ง ได้แก่ </t>
  </si>
  <si>
    <t>กิจกรรมประชุม 3 ฝ่าย</t>
  </si>
  <si>
    <t>สหกรณ์กองทุนสวนยางควนเปล จำกัด (4163)</t>
  </si>
  <si>
    <t>(เนื่องจากอยู่ระหว่างการคัดเลือกคณะกรรมการชุดใหม่ - ชุดเดิมหมดวาระ)</t>
  </si>
  <si>
    <t>เกินแผน 1 แห่ง ได้แก่</t>
  </si>
  <si>
    <t xml:space="preserve"> - ชุมนุม สกย.จังหวัดพัทลุง จำกัด (17014)</t>
  </si>
  <si>
    <t>สหกรณ์ผู้เลี้ยงสัตว์พัทลุง จำกัด</t>
  </si>
  <si>
    <t>ทำสรุปเสนอ หตส.</t>
  </si>
  <si>
    <t>แจ้งสหกรณ์</t>
  </si>
  <si>
    <t xml:space="preserve"> - สหกรณ์ออมทรัพย์ตำรวจตระเวนชายแดนที่ 44 จำกัด (8744)</t>
  </si>
  <si>
    <t>รายละเอียดแผนการปฏิบัติงานและความก้าวหน้าผลการปฏิบัติงาน ณ วันที่  31 มกราคม 2559</t>
  </si>
  <si>
    <t xml:space="preserve"> - กลุ่มเกษตรกรทำสวนยางพารายะรม (10477)</t>
  </si>
  <si>
    <t>เกินแผน 1 แห่ง ได้แก่  (แผน ก.พ. 59)</t>
  </si>
  <si>
    <t xml:space="preserve"> - สหกรณ์อินตัน จำกัด (18962)</t>
  </si>
  <si>
    <t>ตกแผนประชุม 3 ฝ่าย</t>
  </si>
  <si>
    <t>ตก 2 เกิน 1 งานสอนแนะ</t>
  </si>
  <si>
    <t>ตกสอนแนะ 1</t>
  </si>
  <si>
    <t>ณ 31 ม.ค. 59  มีสหกรณ์จัดตั้งใหม่ 13 แห่ง   (รอวางแผนอีก  2 แห่ง)</t>
  </si>
  <si>
    <t>ผลการยืนยัน</t>
  </si>
  <si>
    <t xml:space="preserve"> - สหกรณ์ออมทรัพย์มหาวิทยาลัยสงขลานครินทร์ จำกัด (1183)</t>
  </si>
  <si>
    <t>เกินแผน 1 แห่ง ได้แก่  (แผน มี.ค. 59)</t>
  </si>
  <si>
    <t>** รอสงขลาคีย์</t>
  </si>
</sst>
</file>

<file path=xl/styles.xml><?xml version="1.0" encoding="utf-8"?>
<styleSheet xmlns="http://schemas.openxmlformats.org/spreadsheetml/2006/main">
  <numFmts count="4">
    <numFmt numFmtId="187" formatCode="_(* #,##0.00_);_(* \(#,##0.00\);_(* &quot;-&quot;??_);_(@_)"/>
    <numFmt numFmtId="188" formatCode="0.00_);\(0.00\)"/>
    <numFmt numFmtId="189" formatCode="0_);\(0\)"/>
    <numFmt numFmtId="190" formatCode="0.0000"/>
  </numFmts>
  <fonts count="6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16"/>
      <name val="TH SarabunPSK"/>
      <family val="2"/>
    </font>
    <font>
      <b/>
      <u/>
      <sz val="16"/>
      <name val="TH SarabunPSK"/>
      <family val="2"/>
    </font>
    <font>
      <sz val="11"/>
      <name val="Tahoma"/>
      <family val="2"/>
    </font>
    <font>
      <b/>
      <sz val="11"/>
      <name val="Tahoma"/>
      <family val="2"/>
    </font>
    <font>
      <b/>
      <sz val="11"/>
      <color indexed="10"/>
      <name val="Tahoma"/>
      <family val="2"/>
    </font>
    <font>
      <b/>
      <u/>
      <sz val="11"/>
      <name val="Tahoma"/>
      <family val="2"/>
    </font>
    <font>
      <b/>
      <sz val="11"/>
      <color indexed="12"/>
      <name val="Tahoma"/>
      <family val="2"/>
    </font>
    <font>
      <b/>
      <sz val="10"/>
      <name val="Arial"/>
      <family val="2"/>
    </font>
    <font>
      <sz val="11"/>
      <color rgb="FFFF0000"/>
      <name val="Tahoma"/>
      <family val="2"/>
    </font>
    <font>
      <b/>
      <sz val="11"/>
      <color rgb="FF0000FF"/>
      <name val="Tahoma"/>
      <family val="2"/>
    </font>
    <font>
      <sz val="11"/>
      <color rgb="FF0000FF"/>
      <name val="Tahoma"/>
      <family val="2"/>
    </font>
    <font>
      <b/>
      <sz val="11"/>
      <color rgb="FFFF0000"/>
      <name val="Tahoma"/>
      <family val="2"/>
    </font>
    <font>
      <b/>
      <u/>
      <sz val="11"/>
      <color indexed="8"/>
      <name val="Tahoma"/>
      <family val="2"/>
    </font>
    <font>
      <b/>
      <sz val="10"/>
      <color indexed="12"/>
      <name val="Tahoma"/>
      <family val="2"/>
    </font>
    <font>
      <b/>
      <sz val="11"/>
      <name val="Tahoma"/>
      <family val="2"/>
      <scheme val="minor"/>
    </font>
    <font>
      <sz val="11"/>
      <name val="Tahoma"/>
      <family val="2"/>
      <scheme val="minor"/>
    </font>
    <font>
      <b/>
      <sz val="11"/>
      <color rgb="FFC00000"/>
      <name val="Tahoma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u/>
      <sz val="11"/>
      <color rgb="FF0000FF"/>
      <name val="Tahoma"/>
      <family val="2"/>
    </font>
    <font>
      <sz val="11"/>
      <color rgb="FFC00000"/>
      <name val="Tahoma"/>
      <family val="2"/>
    </font>
    <font>
      <b/>
      <sz val="11"/>
      <color indexed="51"/>
      <name val="Tahoma"/>
      <family val="2"/>
    </font>
    <font>
      <b/>
      <u/>
      <sz val="11"/>
      <color rgb="FFFF0000"/>
      <name val="Tahoma"/>
      <family val="2"/>
    </font>
    <font>
      <u/>
      <sz val="11"/>
      <color rgb="FFC00000"/>
      <name val="Tahoma"/>
      <family val="2"/>
    </font>
    <font>
      <b/>
      <u/>
      <sz val="11"/>
      <color rgb="FFC00000"/>
      <name val="Tahoma"/>
      <family val="2"/>
    </font>
    <font>
      <sz val="11"/>
      <color rgb="FF000000"/>
      <name val="Tahoma"/>
      <family val="2"/>
    </font>
    <font>
      <b/>
      <sz val="11"/>
      <color rgb="FFC00000"/>
      <name val="Tahoma"/>
      <family val="2"/>
      <scheme val="minor"/>
    </font>
    <font>
      <b/>
      <sz val="11"/>
      <color rgb="FF0000FF"/>
      <name val="Tahoma"/>
      <family val="2"/>
      <scheme val="minor"/>
    </font>
    <font>
      <b/>
      <u/>
      <sz val="11"/>
      <name val="Tahoma"/>
      <family val="2"/>
      <scheme val="minor"/>
    </font>
    <font>
      <b/>
      <u/>
      <sz val="11"/>
      <color rgb="FF0000FF"/>
      <name val="Tahoma"/>
      <family val="2"/>
      <scheme val="minor"/>
    </font>
    <font>
      <b/>
      <sz val="11"/>
      <color indexed="10"/>
      <name val="Tahoma"/>
      <family val="2"/>
      <scheme val="minor"/>
    </font>
    <font>
      <b/>
      <u/>
      <sz val="11"/>
      <color rgb="FFC00000"/>
      <name val="Tahoma"/>
      <family val="2"/>
      <scheme val="minor"/>
    </font>
    <font>
      <b/>
      <sz val="10"/>
      <name val="Tahoma"/>
      <family val="2"/>
    </font>
    <font>
      <sz val="9"/>
      <name val="Tahoma"/>
      <family val="2"/>
    </font>
    <font>
      <b/>
      <sz val="11"/>
      <color rgb="FFFF0000"/>
      <name val="Tahoma"/>
      <family val="2"/>
      <scheme val="minor"/>
    </font>
    <font>
      <sz val="10"/>
      <color rgb="FFFF0000"/>
      <name val="Tahoma"/>
      <family val="2"/>
    </font>
    <font>
      <sz val="10"/>
      <name val="Tahoma"/>
      <family val="2"/>
    </font>
    <font>
      <b/>
      <u/>
      <sz val="11"/>
      <color rgb="FFFF0000"/>
      <name val="Tahoma"/>
      <family val="2"/>
      <scheme val="minor"/>
    </font>
    <font>
      <b/>
      <sz val="9"/>
      <color rgb="FF000000"/>
      <name val="Tahoma"/>
      <family val="2"/>
    </font>
    <font>
      <b/>
      <sz val="9"/>
      <color indexed="81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b/>
      <u/>
      <sz val="12"/>
      <name val="Tahoma"/>
      <family val="2"/>
    </font>
    <font>
      <b/>
      <sz val="12"/>
      <color indexed="8"/>
      <name val="Tahoma"/>
      <family val="2"/>
    </font>
    <font>
      <b/>
      <sz val="12"/>
      <color indexed="10"/>
      <name val="Tahoma"/>
      <family val="2"/>
    </font>
    <font>
      <b/>
      <u/>
      <sz val="12"/>
      <color rgb="FF0000FF"/>
      <name val="Tahoma"/>
      <family val="2"/>
    </font>
    <font>
      <b/>
      <sz val="10"/>
      <name val="Tahoma"/>
      <family val="2"/>
      <scheme val="minor"/>
    </font>
    <font>
      <sz val="10"/>
      <color rgb="FF000000"/>
      <name val="Tahoma"/>
      <family val="2"/>
    </font>
    <font>
      <sz val="10"/>
      <color rgb="FFFF0000"/>
      <name val="Tahoma"/>
      <family val="2"/>
      <scheme val="minor"/>
    </font>
    <font>
      <sz val="9"/>
      <color rgb="FF000000"/>
      <name val="Tahoma"/>
      <family val="2"/>
    </font>
    <font>
      <sz val="10"/>
      <color rgb="FF0000FF"/>
      <name val="Tahoma"/>
      <family val="2"/>
    </font>
    <font>
      <sz val="9"/>
      <color indexed="81"/>
      <name val="Tahoma"/>
      <family val="2"/>
    </font>
    <font>
      <b/>
      <sz val="9"/>
      <name val="Tahoma"/>
      <family val="2"/>
    </font>
    <font>
      <sz val="10"/>
      <color rgb="FFC00000"/>
      <name val="Tahoma"/>
      <family val="2"/>
    </font>
    <font>
      <sz val="11"/>
      <color rgb="FFC00000"/>
      <name val="Tahoma"/>
      <family val="2"/>
      <scheme val="minor"/>
    </font>
    <font>
      <u/>
      <sz val="11"/>
      <color rgb="FFC00000"/>
      <name val="Tahoma"/>
      <family val="2"/>
      <scheme val="minor"/>
    </font>
    <font>
      <b/>
      <sz val="14"/>
      <name val="TH SarabunPSK"/>
      <family val="2"/>
    </font>
    <font>
      <sz val="11"/>
      <color rgb="FF0000FF"/>
      <name val="Tahoma"/>
      <family val="2"/>
      <scheme val="minor"/>
    </font>
    <font>
      <b/>
      <sz val="11"/>
      <color theme="1"/>
      <name val="Tahoma"/>
      <family val="2"/>
    </font>
  </fonts>
  <fills count="3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1"/>
        <bgColor indexed="45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27"/>
        <bgColor indexed="45"/>
      </patternFill>
    </fill>
    <fill>
      <patternFill patternType="gray0625">
        <fgColor indexed="15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gray0625">
        <fgColor indexed="29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29"/>
      </patternFill>
    </fill>
    <fill>
      <patternFill patternType="gray0625">
        <fgColor indexed="41"/>
      </patternFill>
    </fill>
    <fill>
      <patternFill patternType="gray0625">
        <fgColor indexed="15"/>
        <bgColor indexed="9"/>
      </patternFill>
    </fill>
    <fill>
      <patternFill patternType="solid">
        <fgColor indexed="26"/>
        <bgColor indexed="45"/>
      </patternFill>
    </fill>
    <fill>
      <patternFill patternType="gray0625">
        <fgColor indexed="15"/>
        <bgColor rgb="FFFF0000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9" tint="0.59999389629810485"/>
        <bgColor indexed="4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gray0625">
        <fgColor rgb="FFFF0000"/>
      </patternFill>
    </fill>
    <fill>
      <patternFill patternType="solid">
        <fgColor rgb="FFCCFFFF"/>
        <bgColor indexed="64"/>
      </patternFill>
    </fill>
    <fill>
      <patternFill patternType="solid">
        <fgColor theme="0" tint="-0.14996795556505021"/>
        <bgColor theme="0"/>
      </patternFill>
    </fill>
    <fill>
      <patternFill patternType="solid">
        <fgColor indexed="65"/>
        <bgColor theme="0"/>
      </patternFill>
    </fill>
    <fill>
      <patternFill patternType="solid">
        <fgColor auto="1"/>
        <bgColor theme="0"/>
      </patternFill>
    </fill>
    <fill>
      <patternFill patternType="solid">
        <fgColor rgb="FF66FF6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DashDotDot">
        <color rgb="FFC00000"/>
      </right>
      <top/>
      <bottom/>
      <diagonal/>
    </border>
    <border>
      <left style="mediumDashDotDot">
        <color rgb="FFC00000"/>
      </left>
      <right/>
      <top style="mediumDashDotDot">
        <color rgb="FFC00000"/>
      </top>
      <bottom/>
      <diagonal/>
    </border>
    <border>
      <left/>
      <right/>
      <top style="mediumDashDotDot">
        <color rgb="FFC00000"/>
      </top>
      <bottom/>
      <diagonal/>
    </border>
    <border>
      <left/>
      <right style="mediumDashDotDot">
        <color rgb="FFC00000"/>
      </right>
      <top style="mediumDashDotDot">
        <color rgb="FFC00000"/>
      </top>
      <bottom/>
      <diagonal/>
    </border>
    <border>
      <left style="mediumDashDotDot">
        <color rgb="FFC00000"/>
      </left>
      <right/>
      <top/>
      <bottom/>
      <diagonal/>
    </border>
    <border>
      <left style="mediumDashDotDot">
        <color rgb="FFC00000"/>
      </left>
      <right/>
      <top/>
      <bottom style="mediumDashDotDot">
        <color rgb="FFC00000"/>
      </bottom>
      <diagonal/>
    </border>
    <border>
      <left/>
      <right/>
      <top/>
      <bottom style="mediumDashDotDot">
        <color rgb="FFC00000"/>
      </bottom>
      <diagonal/>
    </border>
    <border>
      <left/>
      <right style="mediumDashDotDot">
        <color rgb="FFC00000"/>
      </right>
      <top/>
      <bottom style="mediumDashDotDot">
        <color rgb="FFC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187" fontId="1" fillId="0" borderId="0" applyFont="0" applyFill="0" applyBorder="0" applyAlignment="0" applyProtection="0"/>
    <xf numFmtId="0" fontId="1" fillId="0" borderId="0"/>
  </cellStyleXfs>
  <cellXfs count="731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Fill="1"/>
    <xf numFmtId="0" fontId="6" fillId="0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14" borderId="5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0" fontId="6" fillId="11" borderId="5" xfId="0" applyFont="1" applyFill="1" applyBorder="1" applyAlignment="1">
      <alignment horizontal="center"/>
    </xf>
    <xf numFmtId="0" fontId="6" fillId="11" borderId="22" xfId="0" applyFont="1" applyFill="1" applyBorder="1" applyAlignment="1">
      <alignment horizontal="center"/>
    </xf>
    <xf numFmtId="0" fontId="6" fillId="11" borderId="6" xfId="0" applyFont="1" applyFill="1" applyBorder="1" applyAlignment="1">
      <alignment horizontal="center"/>
    </xf>
    <xf numFmtId="0" fontId="6" fillId="14" borderId="6" xfId="0" applyFont="1" applyFill="1" applyBorder="1" applyAlignment="1">
      <alignment horizontal="center"/>
    </xf>
    <xf numFmtId="0" fontId="6" fillId="11" borderId="23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1" fontId="6" fillId="0" borderId="5" xfId="0" applyNumberFormat="1" applyFont="1" applyBorder="1" applyAlignment="1">
      <alignment horizontal="center"/>
    </xf>
    <xf numFmtId="1" fontId="6" fillId="11" borderId="5" xfId="0" applyNumberFormat="1" applyFont="1" applyFill="1" applyBorder="1" applyAlignment="1">
      <alignment horizontal="center"/>
    </xf>
    <xf numFmtId="1" fontId="6" fillId="0" borderId="5" xfId="0" applyNumberFormat="1" applyFont="1" applyFill="1" applyBorder="1" applyAlignment="1">
      <alignment horizontal="center"/>
    </xf>
    <xf numFmtId="1" fontId="6" fillId="0" borderId="6" xfId="0" applyNumberFormat="1" applyFont="1" applyFill="1" applyBorder="1" applyAlignment="1">
      <alignment horizontal="center"/>
    </xf>
    <xf numFmtId="1" fontId="6" fillId="0" borderId="4" xfId="0" applyNumberFormat="1" applyFont="1" applyFill="1" applyBorder="1" applyAlignment="1">
      <alignment horizontal="center"/>
    </xf>
    <xf numFmtId="1" fontId="7" fillId="9" borderId="3" xfId="0" applyNumberFormat="1" applyFont="1" applyFill="1" applyBorder="1" applyAlignment="1">
      <alignment horizontal="center" vertical="center"/>
    </xf>
    <xf numFmtId="0" fontId="9" fillId="0" borderId="0" xfId="0" applyFont="1"/>
    <xf numFmtId="0" fontId="6" fillId="0" borderId="0" xfId="0" applyFont="1"/>
    <xf numFmtId="0" fontId="7" fillId="0" borderId="0" xfId="0" applyFont="1"/>
    <xf numFmtId="0" fontId="16" fillId="0" borderId="16" xfId="0" applyFont="1" applyBorder="1" applyAlignment="1"/>
    <xf numFmtId="0" fontId="10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vertical="center"/>
    </xf>
    <xf numFmtId="0" fontId="9" fillId="0" borderId="0" xfId="0" applyFont="1" applyBorder="1" applyAlignment="1">
      <alignment horizontal="left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0" fillId="0" borderId="0" xfId="0" applyFont="1"/>
    <xf numFmtId="1" fontId="7" fillId="0" borderId="7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 vertical="center"/>
    </xf>
    <xf numFmtId="1" fontId="7" fillId="0" borderId="3" xfId="0" applyNumberFormat="1" applyFont="1" applyFill="1" applyBorder="1" applyAlignment="1">
      <alignment horizontal="center" vertical="center"/>
    </xf>
    <xf numFmtId="1" fontId="7" fillId="0" borderId="13" xfId="0" applyNumberFormat="1" applyFont="1" applyFill="1" applyBorder="1" applyAlignment="1">
      <alignment horizontal="center" vertical="center"/>
    </xf>
    <xf numFmtId="1" fontId="7" fillId="15" borderId="7" xfId="0" applyNumberFormat="1" applyFont="1" applyFill="1" applyBorder="1" applyAlignment="1">
      <alignment horizontal="center"/>
    </xf>
    <xf numFmtId="1" fontId="6" fillId="16" borderId="5" xfId="0" applyNumberFormat="1" applyFont="1" applyFill="1" applyBorder="1" applyAlignment="1">
      <alignment horizontal="center"/>
    </xf>
    <xf numFmtId="1" fontId="6" fillId="0" borderId="6" xfId="0" applyNumberFormat="1" applyFont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19" fillId="0" borderId="4" xfId="0" applyFont="1" applyFill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3" fontId="7" fillId="9" borderId="3" xfId="1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1" fontId="6" fillId="9" borderId="31" xfId="0" applyNumberFormat="1" applyFont="1" applyFill="1" applyBorder="1" applyAlignment="1">
      <alignment horizontal="center"/>
    </xf>
    <xf numFmtId="0" fontId="17" fillId="0" borderId="0" xfId="0" applyFont="1" applyFill="1" applyBorder="1" applyAlignment="1"/>
    <xf numFmtId="0" fontId="11" fillId="0" borderId="0" xfId="0" applyFont="1" applyAlignment="1"/>
    <xf numFmtId="0" fontId="13" fillId="0" borderId="0" xfId="0" applyFont="1"/>
    <xf numFmtId="0" fontId="19" fillId="0" borderId="5" xfId="0" applyFont="1" applyFill="1" applyBorder="1" applyAlignment="1">
      <alignment horizontal="center"/>
    </xf>
    <xf numFmtId="0" fontId="19" fillId="0" borderId="45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4" fontId="7" fillId="9" borderId="7" xfId="1" applyNumberFormat="1" applyFont="1" applyFill="1" applyBorder="1" applyAlignment="1">
      <alignment horizontal="center" vertical="center"/>
    </xf>
    <xf numFmtId="0" fontId="6" fillId="14" borderId="4" xfId="0" applyFont="1" applyFill="1" applyBorder="1" applyAlignment="1">
      <alignment horizontal="center"/>
    </xf>
    <xf numFmtId="0" fontId="7" fillId="10" borderId="5" xfId="0" applyFont="1" applyFill="1" applyBorder="1" applyAlignment="1">
      <alignment horizontal="center"/>
    </xf>
    <xf numFmtId="0" fontId="7" fillId="0" borderId="39" xfId="0" applyFont="1" applyBorder="1"/>
    <xf numFmtId="0" fontId="7" fillId="0" borderId="0" xfId="0" applyFont="1" applyBorder="1"/>
    <xf numFmtId="0" fontId="20" fillId="0" borderId="0" xfId="0" applyFont="1" applyBorder="1"/>
    <xf numFmtId="0" fontId="13" fillId="0" borderId="0" xfId="0" applyFont="1" applyBorder="1"/>
    <xf numFmtId="0" fontId="7" fillId="0" borderId="43" xfId="0" applyFont="1" applyBorder="1"/>
    <xf numFmtId="0" fontId="8" fillId="0" borderId="43" xfId="0" applyFont="1" applyBorder="1" applyAlignment="1">
      <alignment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17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6" fillId="11" borderId="5" xfId="0" applyNumberFormat="1" applyFont="1" applyFill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7" fillId="0" borderId="3" xfId="0" applyNumberFormat="1" applyFont="1" applyFill="1" applyBorder="1" applyAlignment="1">
      <alignment horizontal="center"/>
    </xf>
    <xf numFmtId="189" fontId="21" fillId="5" borderId="4" xfId="1" applyNumberFormat="1" applyFont="1" applyFill="1" applyBorder="1" applyAlignment="1">
      <alignment horizontal="center"/>
    </xf>
    <xf numFmtId="189" fontId="21" fillId="5" borderId="5" xfId="1" applyNumberFormat="1" applyFont="1" applyFill="1" applyBorder="1" applyAlignment="1">
      <alignment horizontal="center"/>
    </xf>
    <xf numFmtId="1" fontId="7" fillId="0" borderId="7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11" borderId="31" xfId="0" applyFont="1" applyFill="1" applyBorder="1" applyAlignment="1">
      <alignment horizontal="center"/>
    </xf>
    <xf numFmtId="0" fontId="7" fillId="11" borderId="5" xfId="0" applyFont="1" applyFill="1" applyBorder="1" applyAlignment="1">
      <alignment horizontal="center"/>
    </xf>
    <xf numFmtId="0" fontId="7" fillId="11" borderId="28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0" xfId="0" applyFont="1" applyFill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0" borderId="4" xfId="0" applyFont="1" applyBorder="1"/>
    <xf numFmtId="0" fontId="13" fillId="0" borderId="0" xfId="0" applyFont="1" applyFill="1"/>
    <xf numFmtId="0" fontId="7" fillId="0" borderId="0" xfId="0" applyFont="1" applyFill="1"/>
    <xf numFmtId="0" fontId="7" fillId="0" borderId="5" xfId="0" applyFont="1" applyBorder="1"/>
    <xf numFmtId="0" fontId="7" fillId="0" borderId="6" xfId="0" applyFont="1" applyBorder="1"/>
    <xf numFmtId="0" fontId="7" fillId="0" borderId="3" xfId="0" applyFont="1" applyFill="1" applyBorder="1"/>
    <xf numFmtId="1" fontId="7" fillId="11" borderId="3" xfId="0" applyNumberFormat="1" applyFont="1" applyFill="1" applyBorder="1" applyAlignment="1">
      <alignment horizontal="center"/>
    </xf>
    <xf numFmtId="1" fontId="7" fillId="9" borderId="12" xfId="0" applyNumberFormat="1" applyFont="1" applyFill="1" applyBorder="1" applyAlignment="1">
      <alignment horizontal="center"/>
    </xf>
    <xf numFmtId="1" fontId="7" fillId="9" borderId="3" xfId="0" applyNumberFormat="1" applyFont="1" applyFill="1" applyBorder="1" applyAlignment="1">
      <alignment horizontal="center"/>
    </xf>
    <xf numFmtId="0" fontId="12" fillId="0" borderId="0" xfId="0" applyFont="1" applyFill="1"/>
    <xf numFmtId="0" fontId="6" fillId="0" borderId="0" xfId="0" applyFont="1" applyFill="1"/>
    <xf numFmtId="0" fontId="15" fillId="0" borderId="0" xfId="0" applyFont="1" applyFill="1"/>
    <xf numFmtId="0" fontId="9" fillId="0" borderId="0" xfId="0" applyFont="1" applyBorder="1"/>
    <xf numFmtId="0" fontId="20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25" fillId="0" borderId="0" xfId="0" applyFont="1" applyFill="1" applyAlignment="1">
      <alignment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14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0" fillId="0" borderId="4" xfId="0" applyFont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25" fillId="0" borderId="0" xfId="0" applyFont="1" applyFill="1"/>
    <xf numFmtId="0" fontId="20" fillId="0" borderId="5" xfId="0" applyFont="1" applyBorder="1"/>
    <xf numFmtId="0" fontId="20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7" fillId="11" borderId="0" xfId="0" applyFont="1" applyFill="1"/>
    <xf numFmtId="0" fontId="7" fillId="6" borderId="0" xfId="0" applyFont="1" applyFill="1"/>
    <xf numFmtId="0" fontId="20" fillId="0" borderId="5" xfId="0" applyFont="1" applyFill="1" applyBorder="1"/>
    <xf numFmtId="0" fontId="20" fillId="0" borderId="6" xfId="0" applyFont="1" applyFill="1" applyBorder="1"/>
    <xf numFmtId="0" fontId="13" fillId="0" borderId="6" xfId="0" applyFont="1" applyFill="1" applyBorder="1" applyAlignment="1">
      <alignment horizontal="center"/>
    </xf>
    <xf numFmtId="0" fontId="7" fillId="13" borderId="3" xfId="0" applyFont="1" applyFill="1" applyBorder="1" applyAlignment="1">
      <alignment horizontal="center"/>
    </xf>
    <xf numFmtId="0" fontId="7" fillId="14" borderId="7" xfId="0" applyFont="1" applyFill="1" applyBorder="1" applyAlignment="1">
      <alignment horizontal="center"/>
    </xf>
    <xf numFmtId="0" fontId="22" fillId="5" borderId="3" xfId="0" applyFont="1" applyFill="1" applyBorder="1" applyAlignment="1">
      <alignment horizontal="center"/>
    </xf>
    <xf numFmtId="0" fontId="7" fillId="0" borderId="20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20" fillId="0" borderId="7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88" fontId="22" fillId="0" borderId="0" xfId="1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left"/>
    </xf>
    <xf numFmtId="0" fontId="22" fillId="0" borderId="0" xfId="0" applyFont="1"/>
    <xf numFmtId="0" fontId="23" fillId="0" borderId="0" xfId="0" applyFont="1" applyAlignment="1">
      <alignment horizontal="left"/>
    </xf>
    <xf numFmtId="0" fontId="8" fillId="0" borderId="0" xfId="0" applyFont="1" applyAlignment="1"/>
    <xf numFmtId="0" fontId="7" fillId="0" borderId="10" xfId="0" applyFont="1" applyFill="1" applyBorder="1"/>
    <xf numFmtId="0" fontId="7" fillId="5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/>
    </xf>
    <xf numFmtId="1" fontId="6" fillId="15" borderId="17" xfId="0" applyNumberFormat="1" applyFont="1" applyFill="1" applyBorder="1" applyAlignment="1">
      <alignment horizontal="center"/>
    </xf>
    <xf numFmtId="1" fontId="6" fillId="15" borderId="4" xfId="0" applyNumberFormat="1" applyFont="1" applyFill="1" applyBorder="1" applyAlignment="1">
      <alignment horizontal="center"/>
    </xf>
    <xf numFmtId="1" fontId="6" fillId="15" borderId="5" xfId="0" applyNumberFormat="1" applyFont="1" applyFill="1" applyBorder="1" applyAlignment="1">
      <alignment horizontal="center"/>
    </xf>
    <xf numFmtId="1" fontId="6" fillId="15" borderId="6" xfId="0" applyNumberFormat="1" applyFont="1" applyFill="1" applyBorder="1" applyAlignment="1">
      <alignment horizontal="center"/>
    </xf>
    <xf numFmtId="3" fontId="7" fillId="0" borderId="13" xfId="0" applyNumberFormat="1" applyFont="1" applyFill="1" applyBorder="1" applyAlignment="1">
      <alignment horizontal="center"/>
    </xf>
    <xf numFmtId="3" fontId="7" fillId="0" borderId="7" xfId="0" applyNumberFormat="1" applyFont="1" applyFill="1" applyBorder="1" applyAlignment="1">
      <alignment horizontal="center"/>
    </xf>
    <xf numFmtId="1" fontId="7" fillId="11" borderId="15" xfId="0" applyNumberFormat="1" applyFont="1" applyFill="1" applyBorder="1" applyAlignment="1">
      <alignment horizontal="center"/>
    </xf>
    <xf numFmtId="16" fontId="8" fillId="0" borderId="0" xfId="0" applyNumberFormat="1" applyFont="1" applyAlignment="1">
      <alignment horizontal="center"/>
    </xf>
    <xf numFmtId="0" fontId="29" fillId="0" borderId="0" xfId="0" applyFont="1"/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1" fontId="6" fillId="0" borderId="31" xfId="0" applyNumberFormat="1" applyFont="1" applyFill="1" applyBorder="1" applyAlignment="1">
      <alignment horizontal="center" vertical="center"/>
    </xf>
    <xf numFmtId="1" fontId="6" fillId="9" borderId="5" xfId="0" applyNumberFormat="1" applyFont="1" applyFill="1" applyBorder="1" applyAlignment="1">
      <alignment horizontal="center" vertical="center"/>
    </xf>
    <xf numFmtId="3" fontId="6" fillId="9" borderId="26" xfId="1" applyNumberFormat="1" applyFont="1" applyFill="1" applyBorder="1" applyAlignment="1">
      <alignment horizontal="center" vertical="center"/>
    </xf>
    <xf numFmtId="0" fontId="7" fillId="11" borderId="5" xfId="0" applyFont="1" applyFill="1" applyBorder="1" applyAlignment="1">
      <alignment vertical="center"/>
    </xf>
    <xf numFmtId="0" fontId="7" fillId="11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1" fontId="6" fillId="0" borderId="6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1" fontId="7" fillId="9" borderId="17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7" fillId="0" borderId="17" xfId="0" applyFont="1" applyBorder="1" applyAlignment="1">
      <alignment vertical="center" wrapText="1"/>
    </xf>
    <xf numFmtId="0" fontId="13" fillId="0" borderId="0" xfId="0" applyFont="1" applyFill="1" applyAlignment="1">
      <alignment horizontal="center" vertical="center"/>
    </xf>
    <xf numFmtId="1" fontId="6" fillId="0" borderId="17" xfId="0" applyNumberFormat="1" applyFont="1" applyFill="1" applyBorder="1" applyAlignment="1">
      <alignment horizontal="center" vertical="center"/>
    </xf>
    <xf numFmtId="3" fontId="6" fillId="9" borderId="17" xfId="1" applyNumberFormat="1" applyFont="1" applyFill="1" applyBorder="1" applyAlignment="1">
      <alignment horizontal="center" vertical="center"/>
    </xf>
    <xf numFmtId="4" fontId="6" fillId="9" borderId="17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6" fillId="9" borderId="5" xfId="1" applyNumberFormat="1" applyFont="1" applyFill="1" applyBorder="1" applyAlignment="1">
      <alignment horizontal="center" vertical="center"/>
    </xf>
    <xf numFmtId="4" fontId="6" fillId="9" borderId="6" xfId="1" applyNumberFormat="1" applyFont="1" applyFill="1" applyBorder="1" applyAlignment="1">
      <alignment horizontal="center" vertical="center"/>
    </xf>
    <xf numFmtId="0" fontId="23" fillId="0" borderId="38" xfId="0" applyFont="1" applyBorder="1" applyAlignment="1">
      <alignment horizontal="left" vertical="center"/>
    </xf>
    <xf numFmtId="0" fontId="8" fillId="0" borderId="39" xfId="0" applyFont="1" applyBorder="1" applyAlignment="1">
      <alignment vertical="center"/>
    </xf>
    <xf numFmtId="0" fontId="28" fillId="0" borderId="41" xfId="0" applyFont="1" applyBorder="1" applyAlignment="1">
      <alignment horizontal="center" vertical="center"/>
    </xf>
    <xf numFmtId="0" fontId="7" fillId="0" borderId="42" xfId="0" applyFont="1" applyBorder="1"/>
    <xf numFmtId="1" fontId="19" fillId="0" borderId="4" xfId="0" applyNumberFormat="1" applyFont="1" applyFill="1" applyBorder="1" applyAlignment="1">
      <alignment horizontal="center"/>
    </xf>
    <xf numFmtId="1" fontId="19" fillId="12" borderId="31" xfId="0" applyNumberFormat="1" applyFont="1" applyFill="1" applyBorder="1" applyAlignment="1">
      <alignment horizontal="center"/>
    </xf>
    <xf numFmtId="1" fontId="18" fillId="9" borderId="5" xfId="0" applyNumberFormat="1" applyFont="1" applyFill="1" applyBorder="1" applyAlignment="1">
      <alignment horizontal="center"/>
    </xf>
    <xf numFmtId="1" fontId="19" fillId="9" borderId="5" xfId="0" applyNumberFormat="1" applyFont="1" applyFill="1" applyBorder="1" applyAlignment="1">
      <alignment horizontal="center"/>
    </xf>
    <xf numFmtId="1" fontId="19" fillId="12" borderId="4" xfId="0" applyNumberFormat="1" applyFont="1" applyFill="1" applyBorder="1" applyAlignment="1">
      <alignment horizontal="center"/>
    </xf>
    <xf numFmtId="1" fontId="19" fillId="0" borderId="17" xfId="0" applyNumberFormat="1" applyFont="1" applyFill="1" applyBorder="1" applyAlignment="1">
      <alignment horizontal="center"/>
    </xf>
    <xf numFmtId="1" fontId="19" fillId="12" borderId="5" xfId="0" applyNumberFormat="1" applyFont="1" applyFill="1" applyBorder="1" applyAlignment="1">
      <alignment horizontal="center"/>
    </xf>
    <xf numFmtId="1" fontId="19" fillId="0" borderId="5" xfId="0" applyNumberFormat="1" applyFont="1" applyFill="1" applyBorder="1" applyAlignment="1">
      <alignment horizontal="center"/>
    </xf>
    <xf numFmtId="1" fontId="19" fillId="0" borderId="45" xfId="0" applyNumberFormat="1" applyFont="1" applyFill="1" applyBorder="1" applyAlignment="1">
      <alignment horizontal="center"/>
    </xf>
    <xf numFmtId="1" fontId="18" fillId="9" borderId="11" xfId="0" applyNumberFormat="1" applyFont="1" applyFill="1" applyBorder="1" applyAlignment="1">
      <alignment horizontal="center"/>
    </xf>
    <xf numFmtId="1" fontId="19" fillId="9" borderId="11" xfId="0" applyNumberFormat="1" applyFont="1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center"/>
    </xf>
    <xf numFmtId="1" fontId="19" fillId="0" borderId="6" xfId="0" applyNumberFormat="1" applyFont="1" applyFill="1" applyBorder="1" applyAlignment="1">
      <alignment horizontal="center"/>
    </xf>
    <xf numFmtId="1" fontId="19" fillId="12" borderId="6" xfId="0" applyNumberFormat="1" applyFont="1" applyFill="1" applyBorder="1" applyAlignment="1">
      <alignment horizontal="center"/>
    </xf>
    <xf numFmtId="1" fontId="18" fillId="9" borderId="6" xfId="0" applyNumberFormat="1" applyFont="1" applyFill="1" applyBorder="1" applyAlignment="1">
      <alignment horizontal="center"/>
    </xf>
    <xf numFmtId="1" fontId="19" fillId="9" borderId="6" xfId="0" applyNumberFormat="1" applyFont="1" applyFill="1" applyBorder="1" applyAlignment="1">
      <alignment horizontal="center"/>
    </xf>
    <xf numFmtId="1" fontId="31" fillId="9" borderId="6" xfId="0" applyNumberFormat="1" applyFont="1" applyFill="1" applyBorder="1" applyAlignment="1">
      <alignment horizontal="center"/>
    </xf>
    <xf numFmtId="1" fontId="18" fillId="0" borderId="7" xfId="0" applyNumberFormat="1" applyFont="1" applyFill="1" applyBorder="1" applyAlignment="1">
      <alignment horizontal="center"/>
    </xf>
    <xf numFmtId="1" fontId="18" fillId="9" borderId="7" xfId="0" applyNumberFormat="1" applyFont="1" applyFill="1" applyBorder="1" applyAlignment="1">
      <alignment horizontal="center"/>
    </xf>
    <xf numFmtId="0" fontId="18" fillId="0" borderId="0" xfId="0" applyFont="1"/>
    <xf numFmtId="0" fontId="32" fillId="0" borderId="0" xfId="0" applyFont="1"/>
    <xf numFmtId="0" fontId="18" fillId="0" borderId="0" xfId="0" applyFont="1" applyAlignment="1">
      <alignment vertical="center"/>
    </xf>
    <xf numFmtId="0" fontId="18" fillId="3" borderId="3" xfId="0" applyFont="1" applyFill="1" applyBorder="1" applyAlignment="1">
      <alignment horizontal="center" vertical="center"/>
    </xf>
    <xf numFmtId="0" fontId="18" fillId="0" borderId="4" xfId="0" applyFont="1" applyFill="1" applyBorder="1"/>
    <xf numFmtId="0" fontId="18" fillId="0" borderId="17" xfId="0" applyFont="1" applyFill="1" applyBorder="1"/>
    <xf numFmtId="0" fontId="18" fillId="0" borderId="5" xfId="0" applyFont="1" applyBorder="1"/>
    <xf numFmtId="0" fontId="18" fillId="0" borderId="11" xfId="0" applyFont="1" applyBorder="1"/>
    <xf numFmtId="0" fontId="18" fillId="0" borderId="6" xfId="0" applyFont="1" applyBorder="1"/>
    <xf numFmtId="0" fontId="31" fillId="0" borderId="0" xfId="0" applyFont="1" applyBorder="1" applyAlignment="1">
      <alignment vertical="center"/>
    </xf>
    <xf numFmtId="0" fontId="30" fillId="0" borderId="0" xfId="0" applyFont="1" applyBorder="1"/>
    <xf numFmtId="0" fontId="31" fillId="0" borderId="0" xfId="0" applyFont="1" applyBorder="1"/>
    <xf numFmtId="0" fontId="18" fillId="0" borderId="0" xfId="0" applyFont="1" applyBorder="1"/>
    <xf numFmtId="0" fontId="30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1" fontId="19" fillId="0" borderId="27" xfId="0" applyNumberFormat="1" applyFont="1" applyFill="1" applyBorder="1" applyAlignment="1">
      <alignment horizontal="center"/>
    </xf>
    <xf numFmtId="1" fontId="19" fillId="9" borderId="4" xfId="0" applyNumberFormat="1" applyFont="1" applyFill="1" applyBorder="1" applyAlignment="1">
      <alignment horizontal="center"/>
    </xf>
    <xf numFmtId="1" fontId="18" fillId="0" borderId="17" xfId="0" applyNumberFormat="1" applyFont="1" applyFill="1" applyBorder="1" applyAlignment="1">
      <alignment horizontal="center"/>
    </xf>
    <xf numFmtId="1" fontId="19" fillId="0" borderId="32" xfId="0" applyNumberFormat="1" applyFont="1" applyFill="1" applyBorder="1" applyAlignment="1">
      <alignment horizontal="center"/>
    </xf>
    <xf numFmtId="1" fontId="18" fillId="0" borderId="6" xfId="0" applyNumberFormat="1" applyFont="1" applyFill="1" applyBorder="1" applyAlignment="1">
      <alignment horizontal="center"/>
    </xf>
    <xf numFmtId="1" fontId="18" fillId="0" borderId="18" xfId="0" applyNumberFormat="1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1" fontId="18" fillId="0" borderId="0" xfId="0" applyNumberFormat="1" applyFont="1"/>
    <xf numFmtId="0" fontId="6" fillId="0" borderId="4" xfId="0" applyFont="1" applyBorder="1"/>
    <xf numFmtId="0" fontId="6" fillId="0" borderId="5" xfId="0" applyFont="1" applyBorder="1"/>
    <xf numFmtId="0" fontId="6" fillId="11" borderId="5" xfId="0" applyFont="1" applyFill="1" applyBorder="1"/>
    <xf numFmtId="0" fontId="6" fillId="11" borderId="6" xfId="0" applyFont="1" applyFill="1" applyBorder="1"/>
    <xf numFmtId="0" fontId="26" fillId="0" borderId="0" xfId="0" applyFont="1"/>
    <xf numFmtId="0" fontId="14" fillId="0" borderId="0" xfId="0" applyFont="1"/>
    <xf numFmtId="0" fontId="37" fillId="0" borderId="0" xfId="0" applyFont="1"/>
    <xf numFmtId="1" fontId="7" fillId="0" borderId="17" xfId="0" applyNumberFormat="1" applyFont="1" applyFill="1" applyBorder="1" applyAlignment="1">
      <alignment horizontal="center" vertical="center"/>
    </xf>
    <xf numFmtId="1" fontId="7" fillId="0" borderId="5" xfId="0" applyNumberFormat="1" applyFont="1" applyFill="1" applyBorder="1" applyAlignment="1">
      <alignment horizontal="center" vertical="center"/>
    </xf>
    <xf numFmtId="1" fontId="7" fillId="0" borderId="17" xfId="0" applyNumberFormat="1" applyFont="1" applyBorder="1" applyAlignment="1">
      <alignment horizontal="center" vertical="center"/>
    </xf>
    <xf numFmtId="1" fontId="7" fillId="0" borderId="5" xfId="0" applyNumberFormat="1" applyFont="1" applyBorder="1" applyAlignment="1">
      <alignment horizontal="center" vertical="center"/>
    </xf>
    <xf numFmtId="1" fontId="7" fillId="11" borderId="5" xfId="0" applyNumberFormat="1" applyFont="1" applyFill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3" fontId="7" fillId="0" borderId="3" xfId="1" applyNumberFormat="1" applyFont="1" applyFill="1" applyBorder="1" applyAlignment="1">
      <alignment horizontal="center" vertical="center"/>
    </xf>
    <xf numFmtId="0" fontId="7" fillId="0" borderId="4" xfId="0" applyFont="1" applyFill="1" applyBorder="1"/>
    <xf numFmtId="0" fontId="7" fillId="0" borderId="5" xfId="0" applyFont="1" applyFill="1" applyBorder="1"/>
    <xf numFmtId="0" fontId="7" fillId="0" borderId="6" xfId="0" applyFont="1" applyFill="1" applyBorder="1"/>
    <xf numFmtId="189" fontId="6" fillId="5" borderId="29" xfId="1" applyNumberFormat="1" applyFont="1" applyFill="1" applyBorder="1" applyAlignment="1">
      <alignment horizontal="center"/>
    </xf>
    <xf numFmtId="189" fontId="6" fillId="5" borderId="30" xfId="1" applyNumberFormat="1" applyFont="1" applyFill="1" applyBorder="1" applyAlignment="1">
      <alignment horizontal="center"/>
    </xf>
    <xf numFmtId="189" fontId="7" fillId="5" borderId="14" xfId="1" applyNumberFormat="1" applyFont="1" applyFill="1" applyBorder="1" applyAlignment="1">
      <alignment horizontal="center"/>
    </xf>
    <xf numFmtId="1" fontId="38" fillId="9" borderId="11" xfId="0" applyNumberFormat="1" applyFont="1" applyFill="1" applyBorder="1" applyAlignment="1">
      <alignment horizontal="center"/>
    </xf>
    <xf numFmtId="0" fontId="12" fillId="0" borderId="0" xfId="0" applyFont="1"/>
    <xf numFmtId="1" fontId="31" fillId="9" borderId="5" xfId="0" applyNumberFormat="1" applyFont="1" applyFill="1" applyBorder="1" applyAlignment="1">
      <alignment horizontal="center"/>
    </xf>
    <xf numFmtId="1" fontId="31" fillId="9" borderId="11" xfId="0" applyNumberFormat="1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0" borderId="40" xfId="0" applyFont="1" applyBorder="1"/>
    <xf numFmtId="0" fontId="7" fillId="0" borderId="37" xfId="0" applyFont="1" applyBorder="1"/>
    <xf numFmtId="0" fontId="7" fillId="0" borderId="44" xfId="0" applyFont="1" applyBorder="1"/>
    <xf numFmtId="1" fontId="31" fillId="18" borderId="5" xfId="0" applyNumberFormat="1" applyFont="1" applyFill="1" applyBorder="1" applyAlignment="1">
      <alignment horizontal="center"/>
    </xf>
    <xf numFmtId="1" fontId="38" fillId="9" borderId="6" xfId="0" applyNumberFormat="1" applyFont="1" applyFill="1" applyBorder="1" applyAlignment="1">
      <alignment horizontal="center"/>
    </xf>
    <xf numFmtId="1" fontId="31" fillId="18" borderId="11" xfId="0" applyNumberFormat="1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0" fontId="18" fillId="0" borderId="17" xfId="0" applyFont="1" applyFill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4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9" fillId="0" borderId="0" xfId="0" applyFont="1"/>
    <xf numFmtId="0" fontId="38" fillId="0" borderId="0" xfId="0" applyFont="1"/>
    <xf numFmtId="0" fontId="7" fillId="0" borderId="0" xfId="0" applyFont="1" applyAlignment="1">
      <alignment horizontal="center"/>
    </xf>
    <xf numFmtId="0" fontId="44" fillId="0" borderId="0" xfId="0" applyFont="1"/>
    <xf numFmtId="0" fontId="14" fillId="0" borderId="0" xfId="0" applyFont="1" applyFill="1"/>
    <xf numFmtId="1" fontId="38" fillId="9" borderId="5" xfId="0" applyNumberFormat="1" applyFont="1" applyFill="1" applyBorder="1" applyAlignment="1">
      <alignment horizontal="center"/>
    </xf>
    <xf numFmtId="0" fontId="18" fillId="0" borderId="0" xfId="0" applyFont="1" applyAlignment="1"/>
    <xf numFmtId="0" fontId="45" fillId="0" borderId="0" xfId="0" applyFont="1" applyAlignment="1">
      <alignment horizontal="center"/>
    </xf>
    <xf numFmtId="0" fontId="46" fillId="0" borderId="0" xfId="0" applyFont="1"/>
    <xf numFmtId="0" fontId="45" fillId="0" borderId="0" xfId="0" applyFont="1" applyAlignment="1">
      <alignment horizontal="left"/>
    </xf>
    <xf numFmtId="0" fontId="47" fillId="0" borderId="0" xfId="0" applyFont="1"/>
    <xf numFmtId="0" fontId="48" fillId="0" borderId="0" xfId="0" applyFont="1"/>
    <xf numFmtId="0" fontId="44" fillId="0" borderId="0" xfId="0" applyFont="1" applyFill="1"/>
    <xf numFmtId="0" fontId="7" fillId="0" borderId="0" xfId="0" applyFont="1" applyAlignment="1">
      <alignment horizontal="center"/>
    </xf>
    <xf numFmtId="0" fontId="49" fillId="0" borderId="0" xfId="0" applyFont="1" applyAlignment="1">
      <alignment horizontal="left"/>
    </xf>
    <xf numFmtId="0" fontId="40" fillId="0" borderId="0" xfId="0" applyFont="1"/>
    <xf numFmtId="0" fontId="50" fillId="0" borderId="0" xfId="0" applyFont="1" applyAlignment="1">
      <alignment horizontal="center"/>
    </xf>
    <xf numFmtId="0" fontId="50" fillId="0" borderId="0" xfId="0" applyFont="1"/>
    <xf numFmtId="0" fontId="51" fillId="0" borderId="0" xfId="0" applyFont="1"/>
    <xf numFmtId="0" fontId="52" fillId="0" borderId="0" xfId="0" applyFont="1"/>
    <xf numFmtId="0" fontId="39" fillId="0" borderId="0" xfId="0" applyFont="1"/>
    <xf numFmtId="0" fontId="53" fillId="0" borderId="0" xfId="0" applyFont="1"/>
    <xf numFmtId="1" fontId="7" fillId="9" borderId="5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1" fillId="0" borderId="0" xfId="0" applyFont="1"/>
    <xf numFmtId="0" fontId="21" fillId="0" borderId="0" xfId="0" applyFont="1" applyAlignment="1"/>
    <xf numFmtId="0" fontId="6" fillId="0" borderId="0" xfId="0" applyFont="1" applyAlignment="1"/>
    <xf numFmtId="0" fontId="54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5" fillId="10" borderId="5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15" fillId="0" borderId="0" xfId="0" applyFont="1" applyFill="1" applyAlignment="1">
      <alignment vertical="center"/>
    </xf>
    <xf numFmtId="1" fontId="18" fillId="9" borderId="4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" fontId="7" fillId="9" borderId="7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190" fontId="7" fillId="0" borderId="0" xfId="0" applyNumberFormat="1" applyFont="1"/>
    <xf numFmtId="0" fontId="7" fillId="10" borderId="4" xfId="0" applyFont="1" applyFill="1" applyBorder="1" applyAlignment="1">
      <alignment horizontal="center"/>
    </xf>
    <xf numFmtId="0" fontId="7" fillId="0" borderId="27" xfId="0" applyFont="1" applyBorder="1" applyAlignment="1">
      <alignment horizontal="center"/>
    </xf>
    <xf numFmtId="1" fontId="7" fillId="9" borderId="6" xfId="0" applyNumberFormat="1" applyFont="1" applyFill="1" applyBorder="1" applyAlignment="1">
      <alignment horizontal="center" vertical="center"/>
    </xf>
    <xf numFmtId="0" fontId="7" fillId="22" borderId="4" xfId="0" applyFont="1" applyFill="1" applyBorder="1" applyAlignment="1">
      <alignment horizontal="center"/>
    </xf>
    <xf numFmtId="0" fontId="7" fillId="22" borderId="5" xfId="0" applyFont="1" applyFill="1" applyBorder="1" applyAlignment="1">
      <alignment horizontal="center"/>
    </xf>
    <xf numFmtId="0" fontId="7" fillId="22" borderId="6" xfId="0" applyFont="1" applyFill="1" applyBorder="1" applyAlignment="1">
      <alignment horizontal="center"/>
    </xf>
    <xf numFmtId="0" fontId="7" fillId="22" borderId="3" xfId="0" applyFont="1" applyFill="1" applyBorder="1" applyAlignment="1">
      <alignment horizontal="center"/>
    </xf>
    <xf numFmtId="189" fontId="36" fillId="5" borderId="14" xfId="1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5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3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/>
    </xf>
    <xf numFmtId="1" fontId="7" fillId="23" borderId="4" xfId="0" applyNumberFormat="1" applyFont="1" applyFill="1" applyBorder="1" applyAlignment="1">
      <alignment horizontal="center"/>
    </xf>
    <xf numFmtId="1" fontId="7" fillId="23" borderId="5" xfId="0" applyNumberFormat="1" applyFont="1" applyFill="1" applyBorder="1" applyAlignment="1">
      <alignment horizontal="center"/>
    </xf>
    <xf numFmtId="1" fontId="7" fillId="23" borderId="6" xfId="0" applyNumberFormat="1" applyFont="1" applyFill="1" applyBorder="1" applyAlignment="1">
      <alignment horizontal="center"/>
    </xf>
    <xf numFmtId="1" fontId="7" fillId="23" borderId="3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1" fontId="6" fillId="9" borderId="45" xfId="0" applyNumberFormat="1" applyFont="1" applyFill="1" applyBorder="1" applyAlignment="1">
      <alignment horizontal="center"/>
    </xf>
    <xf numFmtId="1" fontId="6" fillId="9" borderId="5" xfId="0" applyNumberFormat="1" applyFont="1" applyFill="1" applyBorder="1" applyAlignment="1">
      <alignment horizontal="center"/>
    </xf>
    <xf numFmtId="1" fontId="7" fillId="9" borderId="7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 wrapText="1"/>
    </xf>
    <xf numFmtId="0" fontId="15" fillId="0" borderId="9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/>
    </xf>
    <xf numFmtId="1" fontId="6" fillId="0" borderId="26" xfId="0" applyNumberFormat="1" applyFont="1" applyFill="1" applyBorder="1" applyAlignment="1">
      <alignment horizontal="center"/>
    </xf>
    <xf numFmtId="1" fontId="14" fillId="0" borderId="26" xfId="0" applyNumberFormat="1" applyFont="1" applyFill="1" applyBorder="1" applyAlignment="1">
      <alignment horizontal="center"/>
    </xf>
    <xf numFmtId="1" fontId="6" fillId="0" borderId="24" xfId="0" applyNumberFormat="1" applyFont="1" applyFill="1" applyBorder="1" applyAlignment="1">
      <alignment horizontal="center"/>
    </xf>
    <xf numFmtId="1" fontId="7" fillId="0" borderId="13" xfId="0" applyNumberFormat="1" applyFont="1" applyFill="1" applyBorder="1" applyAlignment="1">
      <alignment horizontal="center"/>
    </xf>
    <xf numFmtId="0" fontId="7" fillId="23" borderId="4" xfId="0" applyFont="1" applyFill="1" applyBorder="1" applyAlignment="1">
      <alignment horizontal="center"/>
    </xf>
    <xf numFmtId="0" fontId="7" fillId="23" borderId="5" xfId="0" applyFont="1" applyFill="1" applyBorder="1" applyAlignment="1">
      <alignment horizontal="center"/>
    </xf>
    <xf numFmtId="0" fontId="7" fillId="23" borderId="6" xfId="0" applyFont="1" applyFill="1" applyBorder="1" applyAlignment="1">
      <alignment horizontal="center"/>
    </xf>
    <xf numFmtId="0" fontId="7" fillId="23" borderId="13" xfId="0" applyFont="1" applyFill="1" applyBorder="1" applyAlignment="1">
      <alignment horizontal="center"/>
    </xf>
    <xf numFmtId="0" fontId="6" fillId="23" borderId="17" xfId="0" applyFont="1" applyFill="1" applyBorder="1" applyAlignment="1">
      <alignment horizontal="center" vertical="center"/>
    </xf>
    <xf numFmtId="0" fontId="6" fillId="23" borderId="5" xfId="0" applyFont="1" applyFill="1" applyBorder="1" applyAlignment="1">
      <alignment horizontal="center" vertical="center"/>
    </xf>
    <xf numFmtId="0" fontId="6" fillId="23" borderId="6" xfId="0" applyFont="1" applyFill="1" applyBorder="1" applyAlignment="1">
      <alignment horizontal="center" vertical="center"/>
    </xf>
    <xf numFmtId="0" fontId="7" fillId="23" borderId="13" xfId="0" applyFont="1" applyFill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/>
    </xf>
    <xf numFmtId="1" fontId="6" fillId="0" borderId="17" xfId="0" applyNumberFormat="1" applyFont="1" applyFill="1" applyBorder="1" applyAlignment="1">
      <alignment horizontal="center"/>
    </xf>
    <xf numFmtId="1" fontId="6" fillId="0" borderId="45" xfId="0" applyNumberFormat="1" applyFont="1" applyFill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7" fillId="0" borderId="37" xfId="0" applyFont="1" applyBorder="1" applyAlignment="1">
      <alignment vertical="center"/>
    </xf>
    <xf numFmtId="0" fontId="6" fillId="0" borderId="0" xfId="0" applyFont="1" applyBorder="1"/>
    <xf numFmtId="0" fontId="24" fillId="0" borderId="41" xfId="0" applyFont="1" applyBorder="1" applyAlignment="1">
      <alignment horizontal="center" vertical="center"/>
    </xf>
    <xf numFmtId="0" fontId="23" fillId="0" borderId="39" xfId="0" applyFont="1" applyBorder="1" applyAlignment="1">
      <alignment horizontal="left" vertical="center"/>
    </xf>
    <xf numFmtId="3" fontId="7" fillId="0" borderId="13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23" borderId="17" xfId="0" applyNumberFormat="1" applyFont="1" applyFill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1" fontId="7" fillId="9" borderId="46" xfId="0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4" fillId="0" borderId="0" xfId="0" applyFont="1" applyBorder="1"/>
    <xf numFmtId="0" fontId="14" fillId="0" borderId="0" xfId="0" applyFont="1" applyBorder="1"/>
    <xf numFmtId="0" fontId="14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7" fillId="11" borderId="17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3" fontId="6" fillId="9" borderId="46" xfId="1" applyNumberFormat="1" applyFont="1" applyFill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vertical="center"/>
    </xf>
    <xf numFmtId="0" fontId="3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1" fillId="5" borderId="15" xfId="0" applyFont="1" applyFill="1" applyBorder="1" applyAlignment="1">
      <alignment horizontal="center" vertical="center" wrapText="1"/>
    </xf>
    <xf numFmtId="0" fontId="58" fillId="0" borderId="0" xfId="0" applyFont="1" applyBorder="1"/>
    <xf numFmtId="0" fontId="59" fillId="0" borderId="41" xfId="0" applyFont="1" applyBorder="1" applyAlignment="1">
      <alignment horizontal="center" vertical="center"/>
    </xf>
    <xf numFmtId="0" fontId="58" fillId="0" borderId="0" xfId="0" applyFont="1" applyBorder="1" applyAlignment="1">
      <alignment vertical="center"/>
    </xf>
    <xf numFmtId="0" fontId="59" fillId="0" borderId="38" xfId="0" applyFont="1" applyBorder="1" applyAlignment="1">
      <alignment horizontal="left" vertical="center"/>
    </xf>
    <xf numFmtId="0" fontId="58" fillId="0" borderId="39" xfId="0" applyFont="1" applyBorder="1" applyAlignment="1">
      <alignment vertical="center"/>
    </xf>
    <xf numFmtId="0" fontId="58" fillId="0" borderId="39" xfId="0" applyFont="1" applyBorder="1"/>
    <xf numFmtId="0" fontId="58" fillId="0" borderId="40" xfId="0" applyFont="1" applyBorder="1"/>
    <xf numFmtId="0" fontId="58" fillId="0" borderId="37" xfId="0" applyFont="1" applyBorder="1"/>
    <xf numFmtId="0" fontId="58" fillId="0" borderId="42" xfId="0" applyFont="1" applyBorder="1"/>
    <xf numFmtId="0" fontId="58" fillId="0" borderId="43" xfId="0" applyFont="1" applyBorder="1"/>
    <xf numFmtId="0" fontId="58" fillId="0" borderId="43" xfId="0" applyFont="1" applyBorder="1" applyAlignment="1">
      <alignment vertical="center"/>
    </xf>
    <xf numFmtId="0" fontId="58" fillId="0" borderId="44" xfId="0" applyFont="1" applyBorder="1"/>
    <xf numFmtId="0" fontId="58" fillId="0" borderId="0" xfId="0" applyFont="1" applyBorder="1" applyAlignment="1">
      <alignment horizontal="left" vertical="center"/>
    </xf>
    <xf numFmtId="0" fontId="27" fillId="0" borderId="41" xfId="0" applyFont="1" applyBorder="1" applyAlignment="1">
      <alignment horizontal="center" vertical="center"/>
    </xf>
    <xf numFmtId="0" fontId="27" fillId="0" borderId="38" xfId="0" applyFont="1" applyBorder="1" applyAlignment="1">
      <alignment horizontal="left" vertical="center"/>
    </xf>
    <xf numFmtId="0" fontId="24" fillId="0" borderId="39" xfId="0" applyFont="1" applyBorder="1" applyAlignment="1">
      <alignment vertical="center"/>
    </xf>
    <xf numFmtId="0" fontId="24" fillId="0" borderId="39" xfId="0" applyFont="1" applyBorder="1"/>
    <xf numFmtId="0" fontId="24" fillId="0" borderId="40" xfId="0" applyFont="1" applyBorder="1"/>
    <xf numFmtId="0" fontId="24" fillId="0" borderId="37" xfId="0" applyFont="1" applyBorder="1" applyAlignment="1">
      <alignment vertical="center"/>
    </xf>
    <xf numFmtId="0" fontId="24" fillId="0" borderId="42" xfId="0" applyFont="1" applyBorder="1"/>
    <xf numFmtId="0" fontId="24" fillId="0" borderId="43" xfId="0" applyFont="1" applyBorder="1"/>
    <xf numFmtId="0" fontId="24" fillId="0" borderId="43" xfId="0" applyFont="1" applyBorder="1" applyAlignment="1">
      <alignment vertical="center"/>
    </xf>
    <xf numFmtId="0" fontId="24" fillId="0" borderId="44" xfId="0" applyFont="1" applyBorder="1"/>
    <xf numFmtId="0" fontId="28" fillId="0" borderId="38" xfId="0" applyFont="1" applyBorder="1" applyAlignment="1">
      <alignment horizontal="left" vertical="center"/>
    </xf>
    <xf numFmtId="0" fontId="32" fillId="0" borderId="0" xfId="0" applyFont="1" applyAlignment="1">
      <alignment vertical="center"/>
    </xf>
    <xf numFmtId="1" fontId="31" fillId="9" borderId="7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2" borderId="7" xfId="0" applyFont="1" applyFill="1" applyBorder="1" applyAlignment="1">
      <alignment horizontal="center" vertical="center" shrinkToFit="1"/>
    </xf>
    <xf numFmtId="1" fontId="6" fillId="16" borderId="45" xfId="0" applyNumberFormat="1" applyFont="1" applyFill="1" applyBorder="1" applyAlignment="1">
      <alignment horizontal="center"/>
    </xf>
    <xf numFmtId="1" fontId="6" fillId="9" borderId="1" xfId="0" applyNumberFormat="1" applyFont="1" applyFill="1" applyBorder="1" applyAlignment="1">
      <alignment horizontal="center"/>
    </xf>
    <xf numFmtId="1" fontId="14" fillId="0" borderId="5" xfId="0" applyNumberFormat="1" applyFont="1" applyFill="1" applyBorder="1" applyAlignment="1">
      <alignment horizontal="center"/>
    </xf>
    <xf numFmtId="1" fontId="12" fillId="0" borderId="5" xfId="0" applyNumberFormat="1" applyFont="1" applyFill="1" applyBorder="1" applyAlignment="1">
      <alignment horizontal="center"/>
    </xf>
    <xf numFmtId="1" fontId="14" fillId="0" borderId="45" xfId="0" applyNumberFormat="1" applyFont="1" applyFill="1" applyBorder="1" applyAlignment="1">
      <alignment horizontal="center"/>
    </xf>
    <xf numFmtId="1" fontId="12" fillId="0" borderId="45" xfId="0" applyNumberFormat="1" applyFont="1" applyFill="1" applyBorder="1" applyAlignment="1">
      <alignment horizontal="center"/>
    </xf>
    <xf numFmtId="1" fontId="6" fillId="25" borderId="5" xfId="0" applyNumberFormat="1" applyFont="1" applyFill="1" applyBorder="1" applyAlignment="1">
      <alignment horizontal="center"/>
    </xf>
    <xf numFmtId="1" fontId="6" fillId="25" borderId="45" xfId="0" applyNumberFormat="1" applyFont="1" applyFill="1" applyBorder="1" applyAlignment="1">
      <alignment horizontal="center"/>
    </xf>
    <xf numFmtId="1" fontId="7" fillId="25" borderId="3" xfId="0" applyNumberFormat="1" applyFont="1" applyFill="1" applyBorder="1" applyAlignment="1">
      <alignment horizontal="center"/>
    </xf>
    <xf numFmtId="1" fontId="20" fillId="0" borderId="3" xfId="0" applyNumberFormat="1" applyFont="1" applyFill="1" applyBorder="1" applyAlignment="1">
      <alignment horizontal="center"/>
    </xf>
    <xf numFmtId="2" fontId="7" fillId="5" borderId="3" xfId="1" applyNumberFormat="1" applyFont="1" applyFill="1" applyBorder="1" applyAlignment="1">
      <alignment horizontal="center"/>
    </xf>
    <xf numFmtId="2" fontId="60" fillId="0" borderId="0" xfId="0" applyNumberFormat="1" applyFont="1"/>
    <xf numFmtId="0" fontId="6" fillId="0" borderId="0" xfId="0" applyFont="1" applyAlignment="1">
      <alignment horizontal="center" vertical="center"/>
    </xf>
    <xf numFmtId="2" fontId="7" fillId="0" borderId="0" xfId="0" applyNumberFormat="1" applyFont="1"/>
    <xf numFmtId="3" fontId="7" fillId="0" borderId="0" xfId="0" applyNumberFormat="1" applyFont="1"/>
    <xf numFmtId="3" fontId="6" fillId="0" borderId="17" xfId="0" applyNumberFormat="1" applyFont="1" applyFill="1" applyBorder="1" applyAlignment="1">
      <alignment horizontal="center" vertical="center"/>
    </xf>
    <xf numFmtId="0" fontId="7" fillId="26" borderId="7" xfId="0" applyFont="1" applyFill="1" applyBorder="1" applyAlignment="1">
      <alignment horizontal="center" vertical="center" wrapText="1"/>
    </xf>
    <xf numFmtId="0" fontId="56" fillId="26" borderId="7" xfId="0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 wrapText="1"/>
    </xf>
    <xf numFmtId="3" fontId="7" fillId="0" borderId="3" xfId="0" applyNumberFormat="1" applyFont="1" applyFill="1" applyBorder="1" applyAlignment="1">
      <alignment horizontal="center" vertical="center"/>
    </xf>
    <xf numFmtId="4" fontId="6" fillId="9" borderId="26" xfId="1" applyNumberFormat="1" applyFont="1" applyFill="1" applyBorder="1" applyAlignment="1">
      <alignment horizontal="center" vertical="center"/>
    </xf>
    <xf numFmtId="4" fontId="7" fillId="0" borderId="3" xfId="0" applyNumberFormat="1" applyFont="1" applyFill="1" applyBorder="1" applyAlignment="1">
      <alignment horizontal="center" vertical="center"/>
    </xf>
    <xf numFmtId="2" fontId="7" fillId="0" borderId="3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2" fontId="56" fillId="0" borderId="0" xfId="0" applyNumberFormat="1" applyFont="1"/>
    <xf numFmtId="0" fontId="15" fillId="5" borderId="5" xfId="0" applyFont="1" applyFill="1" applyBorder="1" applyAlignment="1">
      <alignment horizontal="center"/>
    </xf>
    <xf numFmtId="0" fontId="36" fillId="0" borderId="0" xfId="0" applyFont="1"/>
    <xf numFmtId="0" fontId="10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2" fontId="6" fillId="9" borderId="46" xfId="0" applyNumberFormat="1" applyFont="1" applyFill="1" applyBorder="1" applyAlignment="1">
      <alignment horizontal="center" vertical="center"/>
    </xf>
    <xf numFmtId="1" fontId="61" fillId="9" borderId="17" xfId="0" applyNumberFormat="1" applyFont="1" applyFill="1" applyBorder="1" applyAlignment="1">
      <alignment horizontal="center"/>
    </xf>
    <xf numFmtId="1" fontId="61" fillId="9" borderId="11" xfId="0" applyNumberFormat="1" applyFont="1" applyFill="1" applyBorder="1" applyAlignment="1">
      <alignment horizontal="center"/>
    </xf>
    <xf numFmtId="1" fontId="61" fillId="9" borderId="5" xfId="0" applyNumberFormat="1" applyFont="1" applyFill="1" applyBorder="1" applyAlignment="1">
      <alignment horizontal="center"/>
    </xf>
    <xf numFmtId="1" fontId="61" fillId="9" borderId="6" xfId="0" applyNumberFormat="1" applyFont="1" applyFill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0" xfId="0" applyFont="1" applyAlignment="1">
      <alignment horizontal="center"/>
    </xf>
    <xf numFmtId="1" fontId="15" fillId="9" borderId="45" xfId="0" applyNumberFormat="1" applyFont="1" applyFill="1" applyBorder="1" applyAlignment="1">
      <alignment horizontal="center"/>
    </xf>
    <xf numFmtId="4" fontId="24" fillId="0" borderId="17" xfId="0" applyNumberFormat="1" applyFont="1" applyBorder="1" applyAlignment="1">
      <alignment horizontal="center" vertical="center"/>
    </xf>
    <xf numFmtId="4" fontId="24" fillId="0" borderId="17" xfId="0" applyNumberFormat="1" applyFont="1" applyFill="1" applyBorder="1" applyAlignment="1">
      <alignment horizontal="center" vertical="center"/>
    </xf>
    <xf numFmtId="4" fontId="20" fillId="0" borderId="13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vertical="center"/>
    </xf>
    <xf numFmtId="1" fontId="6" fillId="0" borderId="5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1" fontId="38" fillId="9" borderId="4" xfId="0" applyNumberFormat="1" applyFont="1" applyFill="1" applyBorder="1" applyAlignment="1">
      <alignment horizontal="center"/>
    </xf>
    <xf numFmtId="1" fontId="7" fillId="9" borderId="45" xfId="0" applyNumberFormat="1" applyFont="1" applyFill="1" applyBorder="1" applyAlignment="1">
      <alignment horizontal="center"/>
    </xf>
    <xf numFmtId="1" fontId="7" fillId="16" borderId="5" xfId="0" applyNumberFormat="1" applyFont="1" applyFill="1" applyBorder="1" applyAlignment="1">
      <alignment horizontal="center"/>
    </xf>
    <xf numFmtId="1" fontId="6" fillId="23" borderId="4" xfId="0" applyNumberFormat="1" applyFont="1" applyFill="1" applyBorder="1" applyAlignment="1">
      <alignment horizontal="center"/>
    </xf>
    <xf numFmtId="1" fontId="6" fillId="23" borderId="5" xfId="0" applyNumberFormat="1" applyFont="1" applyFill="1" applyBorder="1" applyAlignment="1">
      <alignment horizontal="center"/>
    </xf>
    <xf numFmtId="1" fontId="7" fillId="9" borderId="5" xfId="0" applyNumberFormat="1" applyFont="1" applyFill="1" applyBorder="1" applyAlignment="1">
      <alignment horizontal="center"/>
    </xf>
    <xf numFmtId="1" fontId="7" fillId="0" borderId="0" xfId="0" applyNumberFormat="1" applyFont="1" applyFill="1"/>
    <xf numFmtId="1" fontId="15" fillId="16" borderId="5" xfId="0" applyNumberFormat="1" applyFont="1" applyFill="1" applyBorder="1" applyAlignment="1">
      <alignment horizontal="center"/>
    </xf>
    <xf numFmtId="1" fontId="7" fillId="9" borderId="1" xfId="0" applyNumberFormat="1" applyFont="1" applyFill="1" applyBorder="1" applyAlignment="1">
      <alignment horizontal="center"/>
    </xf>
    <xf numFmtId="1" fontId="7" fillId="16" borderId="45" xfId="0" applyNumberFormat="1" applyFont="1" applyFill="1" applyBorder="1" applyAlignment="1">
      <alignment horizontal="center"/>
    </xf>
    <xf numFmtId="1" fontId="6" fillId="27" borderId="4" xfId="0" applyNumberFormat="1" applyFont="1" applyFill="1" applyBorder="1" applyAlignment="1">
      <alignment horizontal="center"/>
    </xf>
    <xf numFmtId="1" fontId="6" fillId="27" borderId="5" xfId="0" applyNumberFormat="1" applyFont="1" applyFill="1" applyBorder="1" applyAlignment="1">
      <alignment horizontal="center"/>
    </xf>
    <xf numFmtId="1" fontId="6" fillId="27" borderId="45" xfId="0" applyNumberFormat="1" applyFont="1" applyFill="1" applyBorder="1" applyAlignment="1">
      <alignment horizontal="center"/>
    </xf>
    <xf numFmtId="1" fontId="7" fillId="27" borderId="3" xfId="0" applyNumberFormat="1" applyFont="1" applyFill="1" applyBorder="1" applyAlignment="1">
      <alignment horizontal="center"/>
    </xf>
    <xf numFmtId="1" fontId="6" fillId="0" borderId="4" xfId="0" applyNumberFormat="1" applyFont="1" applyFill="1" applyBorder="1" applyAlignment="1">
      <alignment horizontal="center" vertical="center"/>
    </xf>
    <xf numFmtId="3" fontId="62" fillId="9" borderId="5" xfId="1" applyNumberFormat="1" applyFont="1" applyFill="1" applyBorder="1" applyAlignment="1">
      <alignment horizontal="center" vertical="center"/>
    </xf>
    <xf numFmtId="3" fontId="15" fillId="9" borderId="5" xfId="1" applyNumberFormat="1" applyFont="1" applyFill="1" applyBorder="1" applyAlignment="1">
      <alignment horizontal="center" vertical="center"/>
    </xf>
    <xf numFmtId="3" fontId="6" fillId="28" borderId="17" xfId="0" applyNumberFormat="1" applyFont="1" applyFill="1" applyBorder="1" applyAlignment="1">
      <alignment horizontal="center" vertical="center"/>
    </xf>
    <xf numFmtId="3" fontId="6" fillId="28" borderId="46" xfId="0" applyNumberFormat="1" applyFont="1" applyFill="1" applyBorder="1" applyAlignment="1">
      <alignment horizontal="center" vertical="center"/>
    </xf>
    <xf numFmtId="3" fontId="6" fillId="29" borderId="46" xfId="0" applyNumberFormat="1" applyFont="1" applyFill="1" applyBorder="1" applyAlignment="1">
      <alignment horizontal="center" vertical="center"/>
    </xf>
    <xf numFmtId="3" fontId="6" fillId="29" borderId="26" xfId="1" applyNumberFormat="1" applyFont="1" applyFill="1" applyBorder="1" applyAlignment="1">
      <alignment horizontal="center" vertical="center"/>
    </xf>
    <xf numFmtId="3" fontId="7" fillId="26" borderId="13" xfId="0" applyNumberFormat="1" applyFont="1" applyFill="1" applyBorder="1" applyAlignment="1">
      <alignment horizontal="center" vertical="center"/>
    </xf>
    <xf numFmtId="3" fontId="7" fillId="26" borderId="17" xfId="0" applyNumberFormat="1" applyFont="1" applyFill="1" applyBorder="1" applyAlignment="1">
      <alignment horizontal="center" vertical="center"/>
    </xf>
    <xf numFmtId="1" fontId="18" fillId="9" borderId="45" xfId="0" applyNumberFormat="1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10" borderId="6" xfId="0" applyFont="1" applyFill="1" applyBorder="1" applyAlignment="1">
      <alignment horizontal="center"/>
    </xf>
    <xf numFmtId="0" fontId="13" fillId="10" borderId="5" xfId="0" applyFont="1" applyFill="1" applyBorder="1" applyAlignment="1">
      <alignment horizontal="center"/>
    </xf>
    <xf numFmtId="1" fontId="7" fillId="9" borderId="6" xfId="0" applyNumberFormat="1" applyFont="1" applyFill="1" applyBorder="1" applyAlignment="1">
      <alignment horizontal="center"/>
    </xf>
    <xf numFmtId="1" fontId="15" fillId="0" borderId="0" xfId="0" applyNumberFormat="1" applyFont="1" applyFill="1"/>
    <xf numFmtId="0" fontId="7" fillId="0" borderId="0" xfId="0" applyFont="1" applyAlignment="1">
      <alignment horizontal="center"/>
    </xf>
    <xf numFmtId="1" fontId="7" fillId="0" borderId="0" xfId="0" applyNumberFormat="1" applyFont="1"/>
    <xf numFmtId="0" fontId="7" fillId="5" borderId="2" xfId="0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1" fontId="6" fillId="30" borderId="17" xfId="0" applyNumberFormat="1" applyFont="1" applyFill="1" applyBorder="1" applyAlignment="1">
      <alignment horizontal="center"/>
    </xf>
    <xf numFmtId="1" fontId="6" fillId="30" borderId="5" xfId="0" applyNumberFormat="1" applyFont="1" applyFill="1" applyBorder="1" applyAlignment="1">
      <alignment horizontal="center"/>
    </xf>
    <xf numFmtId="1" fontId="6" fillId="30" borderId="45" xfId="0" applyNumberFormat="1" applyFont="1" applyFill="1" applyBorder="1" applyAlignment="1">
      <alignment horizontal="center"/>
    </xf>
    <xf numFmtId="1" fontId="7" fillId="30" borderId="3" xfId="0" applyNumberFormat="1" applyFont="1" applyFill="1" applyBorder="1" applyAlignment="1">
      <alignment horizontal="center"/>
    </xf>
    <xf numFmtId="3" fontId="7" fillId="9" borderId="5" xfId="1" applyNumberFormat="1" applyFont="1" applyFill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31" fillId="0" borderId="0" xfId="0" applyFont="1"/>
    <xf numFmtId="3" fontId="6" fillId="29" borderId="46" xfId="1" applyNumberFormat="1" applyFont="1" applyFill="1" applyBorder="1" applyAlignment="1">
      <alignment horizontal="center" vertical="center"/>
    </xf>
    <xf numFmtId="3" fontId="15" fillId="9" borderId="26" xfId="1" applyNumberFormat="1" applyFont="1" applyFill="1" applyBorder="1" applyAlignment="1">
      <alignment horizontal="center" vertical="center"/>
    </xf>
    <xf numFmtId="1" fontId="38" fillId="9" borderId="45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31" borderId="5" xfId="0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3" fontId="15" fillId="26" borderId="17" xfId="0" applyNumberFormat="1" applyFont="1" applyFill="1" applyBorder="1" applyAlignment="1">
      <alignment horizontal="center" vertical="center"/>
    </xf>
    <xf numFmtId="1" fontId="13" fillId="9" borderId="45" xfId="0" applyNumberFormat="1" applyFont="1" applyFill="1" applyBorder="1" applyAlignment="1">
      <alignment horizontal="center"/>
    </xf>
    <xf numFmtId="3" fontId="7" fillId="9" borderId="4" xfId="1" applyNumberFormat="1" applyFont="1" applyFill="1" applyBorder="1" applyAlignment="1">
      <alignment horizontal="center" vertical="center"/>
    </xf>
    <xf numFmtId="3" fontId="6" fillId="0" borderId="46" xfId="0" applyNumberFormat="1" applyFont="1" applyFill="1" applyBorder="1" applyAlignment="1">
      <alignment horizontal="center" vertical="center"/>
    </xf>
    <xf numFmtId="3" fontId="6" fillId="0" borderId="26" xfId="1" applyNumberFormat="1" applyFont="1" applyFill="1" applyBorder="1" applyAlignment="1">
      <alignment horizontal="center" vertical="center"/>
    </xf>
    <xf numFmtId="3" fontId="13" fillId="26" borderId="17" xfId="0" applyNumberFormat="1" applyFont="1" applyFill="1" applyBorder="1" applyAlignment="1">
      <alignment horizontal="center" vertical="center"/>
    </xf>
    <xf numFmtId="0" fontId="7" fillId="5" borderId="45" xfId="0" applyFont="1" applyFill="1" applyBorder="1" applyAlignment="1">
      <alignment horizontal="center"/>
    </xf>
    <xf numFmtId="3" fontId="7" fillId="9" borderId="6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/>
    </xf>
    <xf numFmtId="0" fontId="7" fillId="7" borderId="34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shrinkToFit="1"/>
    </xf>
    <xf numFmtId="0" fontId="7" fillId="17" borderId="1" xfId="0" applyFont="1" applyFill="1" applyBorder="1" applyAlignment="1">
      <alignment horizontal="center" vertical="center" shrinkToFit="1"/>
    </xf>
    <xf numFmtId="0" fontId="7" fillId="17" borderId="7" xfId="0" applyFont="1" applyFill="1" applyBorder="1" applyAlignment="1">
      <alignment horizontal="center" vertical="center" shrinkToFit="1"/>
    </xf>
    <xf numFmtId="0" fontId="7" fillId="17" borderId="35" xfId="0" applyFont="1" applyFill="1" applyBorder="1" applyAlignment="1">
      <alignment horizontal="center" vertical="center" wrapText="1"/>
    </xf>
    <xf numFmtId="0" fontId="7" fillId="17" borderId="34" xfId="0" applyFont="1" applyFill="1" applyBorder="1" applyAlignment="1">
      <alignment horizontal="center" vertical="center" wrapText="1"/>
    </xf>
    <xf numFmtId="0" fontId="7" fillId="17" borderId="13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/>
    </xf>
    <xf numFmtId="0" fontId="7" fillId="17" borderId="8" xfId="0" applyFont="1" applyFill="1" applyBorder="1" applyAlignment="1">
      <alignment horizontal="center" vertical="center" wrapText="1" shrinkToFit="1"/>
    </xf>
    <xf numFmtId="0" fontId="7" fillId="17" borderId="10" xfId="0" applyFont="1" applyFill="1" applyBorder="1" applyAlignment="1">
      <alignment horizontal="center" vertical="center" wrapText="1" shrinkToFit="1"/>
    </xf>
    <xf numFmtId="0" fontId="7" fillId="17" borderId="18" xfId="0" applyFont="1" applyFill="1" applyBorder="1" applyAlignment="1">
      <alignment horizontal="center" vertical="center" wrapText="1" shrinkToFit="1"/>
    </xf>
    <xf numFmtId="0" fontId="7" fillId="17" borderId="36" xfId="0" applyFont="1" applyFill="1" applyBorder="1" applyAlignment="1">
      <alignment horizontal="center" vertical="center" wrapText="1" shrinkToFit="1"/>
    </xf>
    <xf numFmtId="0" fontId="7" fillId="17" borderId="15" xfId="0" applyFont="1" applyFill="1" applyBorder="1" applyAlignment="1">
      <alignment horizontal="center" vertical="center" wrapText="1" shrinkToFit="1"/>
    </xf>
    <xf numFmtId="0" fontId="7" fillId="17" borderId="12" xfId="0" applyFont="1" applyFill="1" applyBorder="1" applyAlignment="1">
      <alignment horizontal="center" vertical="center" wrapText="1" shrinkToFit="1"/>
    </xf>
    <xf numFmtId="0" fontId="7" fillId="17" borderId="34" xfId="0" applyFont="1" applyFill="1" applyBorder="1" applyAlignment="1">
      <alignment horizontal="center" vertical="center" wrapText="1" shrinkToFit="1"/>
    </xf>
    <xf numFmtId="0" fontId="7" fillId="17" borderId="33" xfId="0" applyFont="1" applyFill="1" applyBorder="1" applyAlignment="1">
      <alignment horizontal="center" vertical="center" wrapText="1" shrinkToFit="1"/>
    </xf>
    <xf numFmtId="0" fontId="7" fillId="17" borderId="9" xfId="0" applyFont="1" applyFill="1" applyBorder="1" applyAlignment="1">
      <alignment horizontal="center" vertical="center" wrapText="1" shrinkToFit="1"/>
    </xf>
    <xf numFmtId="0" fontId="57" fillId="0" borderId="1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7" fillId="17" borderId="1" xfId="0" applyFont="1" applyFill="1" applyBorder="1" applyAlignment="1">
      <alignment horizontal="center" vertical="center" wrapText="1" shrinkToFit="1"/>
    </xf>
    <xf numFmtId="0" fontId="7" fillId="17" borderId="7" xfId="0" applyFont="1" applyFill="1" applyBorder="1" applyAlignment="1">
      <alignment horizontal="center" vertical="center" wrapText="1" shrinkToFit="1"/>
    </xf>
    <xf numFmtId="0" fontId="7" fillId="21" borderId="2" xfId="0" applyFont="1" applyFill="1" applyBorder="1" applyAlignment="1">
      <alignment horizontal="center" vertical="center" wrapText="1" shrinkToFit="1"/>
    </xf>
    <xf numFmtId="0" fontId="7" fillId="21" borderId="7" xfId="0" applyFont="1" applyFill="1" applyBorder="1" applyAlignment="1">
      <alignment horizontal="center" vertical="center" wrapText="1" shrinkToFit="1"/>
    </xf>
    <xf numFmtId="0" fontId="7" fillId="17" borderId="16" xfId="0" applyFont="1" applyFill="1" applyBorder="1" applyAlignment="1">
      <alignment horizontal="center" vertical="center" wrapText="1" shrinkToFit="1"/>
    </xf>
    <xf numFmtId="0" fontId="7" fillId="17" borderId="21" xfId="0" applyFont="1" applyFill="1" applyBorder="1" applyAlignment="1">
      <alignment horizontal="center" vertical="center" wrapText="1" shrinkToFit="1"/>
    </xf>
    <xf numFmtId="0" fontId="7" fillId="20" borderId="12" xfId="0" applyFont="1" applyFill="1" applyBorder="1" applyAlignment="1">
      <alignment horizontal="center" vertical="center" wrapText="1" shrinkToFit="1"/>
    </xf>
    <xf numFmtId="0" fontId="7" fillId="20" borderId="34" xfId="0" applyFont="1" applyFill="1" applyBorder="1" applyAlignment="1">
      <alignment horizontal="center" vertical="center" wrapText="1" shrinkToFit="1"/>
    </xf>
    <xf numFmtId="0" fontId="7" fillId="20" borderId="13" xfId="0" applyFont="1" applyFill="1" applyBorder="1" applyAlignment="1">
      <alignment horizontal="center" vertical="center" wrapText="1" shrinkToFit="1"/>
    </xf>
    <xf numFmtId="0" fontId="7" fillId="8" borderId="8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/>
    </xf>
    <xf numFmtId="0" fontId="7" fillId="8" borderId="18" xfId="0" applyFont="1" applyFill="1" applyBorder="1" applyAlignment="1">
      <alignment horizontal="center" vertical="center"/>
    </xf>
    <xf numFmtId="0" fontId="7" fillId="8" borderId="15" xfId="0" applyFont="1" applyFill="1" applyBorder="1" applyAlignment="1">
      <alignment horizontal="center" vertical="center"/>
    </xf>
    <xf numFmtId="0" fontId="7" fillId="17" borderId="2" xfId="0" applyFont="1" applyFill="1" applyBorder="1" applyAlignment="1">
      <alignment horizontal="center" vertical="center" wrapText="1" shrinkToFit="1"/>
    </xf>
    <xf numFmtId="0" fontId="6" fillId="0" borderId="0" xfId="0" applyFont="1" applyAlignment="1">
      <alignment horizontal="center"/>
    </xf>
    <xf numFmtId="0" fontId="7" fillId="8" borderId="16" xfId="0" applyFont="1" applyFill="1" applyBorder="1" applyAlignment="1">
      <alignment horizontal="center" vertical="center"/>
    </xf>
    <xf numFmtId="0" fontId="7" fillId="8" borderId="21" xfId="0" applyFont="1" applyFill="1" applyBorder="1" applyAlignment="1">
      <alignment horizontal="center" vertical="center"/>
    </xf>
    <xf numFmtId="0" fontId="45" fillId="19" borderId="12" xfId="0" applyFont="1" applyFill="1" applyBorder="1" applyAlignment="1">
      <alignment horizontal="center" vertical="center"/>
    </xf>
    <xf numFmtId="0" fontId="45" fillId="19" borderId="34" xfId="0" applyFont="1" applyFill="1" applyBorder="1" applyAlignment="1">
      <alignment horizontal="center" vertical="center"/>
    </xf>
    <xf numFmtId="0" fontId="45" fillId="19" borderId="13" xfId="0" applyFont="1" applyFill="1" applyBorder="1" applyAlignment="1">
      <alignment horizontal="center" vertical="center"/>
    </xf>
    <xf numFmtId="0" fontId="7" fillId="0" borderId="36" xfId="0" applyNumberFormat="1" applyFont="1" applyFill="1" applyBorder="1" applyAlignment="1">
      <alignment horizontal="center" vertical="center" wrapText="1"/>
    </xf>
    <xf numFmtId="0" fontId="7" fillId="0" borderId="15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 wrapText="1"/>
    </xf>
    <xf numFmtId="0" fontId="7" fillId="23" borderId="7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5" borderId="34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 vertical="center" wrapText="1"/>
    </xf>
    <xf numFmtId="0" fontId="36" fillId="23" borderId="2" xfId="0" applyFont="1" applyFill="1" applyBorder="1" applyAlignment="1">
      <alignment horizontal="center" vertical="center" wrapText="1"/>
    </xf>
    <xf numFmtId="0" fontId="36" fillId="23" borderId="1" xfId="0" applyFont="1" applyFill="1" applyBorder="1" applyAlignment="1">
      <alignment horizontal="center" vertical="center" wrapText="1"/>
    </xf>
    <xf numFmtId="0" fontId="36" fillId="23" borderId="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23" borderId="12" xfId="0" applyFont="1" applyFill="1" applyBorder="1" applyAlignment="1">
      <alignment horizontal="center" vertical="center" wrapText="1"/>
    </xf>
    <xf numFmtId="0" fontId="7" fillId="23" borderId="34" xfId="0" applyFont="1" applyFill="1" applyBorder="1" applyAlignment="1">
      <alignment horizontal="center" vertical="center" wrapText="1"/>
    </xf>
    <xf numFmtId="0" fontId="7" fillId="23" borderId="13" xfId="0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 wrapText="1"/>
    </xf>
    <xf numFmtId="0" fontId="6" fillId="23" borderId="7" xfId="0" applyFont="1" applyFill="1" applyBorder="1" applyAlignment="1">
      <alignment horizontal="center" vertical="center" wrapText="1"/>
    </xf>
    <xf numFmtId="0" fontId="20" fillId="24" borderId="12" xfId="0" applyFont="1" applyFill="1" applyBorder="1" applyAlignment="1">
      <alignment horizontal="center" vertical="center"/>
    </xf>
    <xf numFmtId="0" fontId="20" fillId="24" borderId="34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45" fillId="19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36" fillId="30" borderId="1" xfId="0" applyFont="1" applyFill="1" applyBorder="1" applyAlignment="1">
      <alignment horizontal="center" vertical="center" wrapText="1"/>
    </xf>
    <xf numFmtId="0" fontId="36" fillId="30" borderId="7" xfId="0" applyFont="1" applyFill="1" applyBorder="1" applyAlignment="1">
      <alignment horizontal="center" vertical="center" wrapText="1"/>
    </xf>
    <xf numFmtId="0" fontId="20" fillId="24" borderId="13" xfId="0" applyFont="1" applyFill="1" applyBorder="1" applyAlignment="1">
      <alignment horizontal="center" vertical="center"/>
    </xf>
    <xf numFmtId="0" fontId="20" fillId="24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/>
    </xf>
    <xf numFmtId="0" fontId="7" fillId="3" borderId="21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34" xfId="0" applyFont="1" applyFill="1" applyBorder="1" applyAlignment="1">
      <alignment horizontal="center"/>
    </xf>
    <xf numFmtId="0" fontId="7" fillId="5" borderId="18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23" borderId="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/>
    </xf>
    <xf numFmtId="0" fontId="7" fillId="24" borderId="12" xfId="0" applyFont="1" applyFill="1" applyBorder="1" applyAlignment="1">
      <alignment horizontal="center" vertical="center"/>
    </xf>
    <xf numFmtId="0" fontId="7" fillId="24" borderId="34" xfId="0" applyFont="1" applyFill="1" applyBorder="1" applyAlignment="1">
      <alignment horizontal="center" vertical="center"/>
    </xf>
    <xf numFmtId="0" fontId="7" fillId="24" borderId="13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4" borderId="2" xfId="0" applyFont="1" applyFill="1" applyBorder="1" applyAlignment="1">
      <alignment horizontal="center" vertical="center" shrinkToFit="1"/>
    </xf>
    <xf numFmtId="0" fontId="7" fillId="24" borderId="1" xfId="0" applyFont="1" applyFill="1" applyBorder="1" applyAlignment="1">
      <alignment horizontal="center" vertical="center" shrinkToFit="1"/>
    </xf>
    <xf numFmtId="0" fontId="56" fillId="0" borderId="3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3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5" borderId="2" xfId="0" applyNumberFormat="1" applyFont="1" applyFill="1" applyBorder="1" applyAlignment="1">
      <alignment horizontal="center" vertical="center" wrapText="1"/>
    </xf>
    <xf numFmtId="0" fontId="7" fillId="5" borderId="7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2" borderId="2" xfId="0" applyFont="1" applyFill="1" applyBorder="1" applyAlignment="1">
      <alignment horizontal="center" vertical="center" shrinkToFit="1"/>
    </xf>
    <xf numFmtId="0" fontId="18" fillId="2" borderId="1" xfId="0" applyFont="1" applyFill="1" applyBorder="1" applyAlignment="1">
      <alignment horizontal="center" vertical="center" shrinkToFit="1"/>
    </xf>
    <xf numFmtId="0" fontId="18" fillId="2" borderId="7" xfId="0" applyFont="1" applyFill="1" applyBorder="1" applyAlignment="1">
      <alignment horizontal="center" vertical="center" shrinkToFi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8" fillId="3" borderId="34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5" borderId="12" xfId="0" applyFont="1" applyFill="1" applyBorder="1" applyAlignment="1">
      <alignment horizontal="center" vertical="center" wrapText="1"/>
    </xf>
    <xf numFmtId="0" fontId="18" fillId="5" borderId="34" xfId="0" applyFont="1" applyFill="1" applyBorder="1" applyAlignment="1">
      <alignment horizontal="center" vertical="center" wrapText="1"/>
    </xf>
    <xf numFmtId="0" fontId="18" fillId="5" borderId="8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/>
    </xf>
    <xf numFmtId="0" fontId="18" fillId="2" borderId="34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5" borderId="7" xfId="0" applyFont="1" applyFill="1" applyBorder="1" applyAlignment="1">
      <alignment horizontal="center" vertical="center" wrapText="1"/>
    </xf>
    <xf numFmtId="0" fontId="18" fillId="5" borderId="36" xfId="0" applyFont="1" applyFill="1" applyBorder="1" applyAlignment="1">
      <alignment horizontal="center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18" fillId="5" borderId="2" xfId="0" applyFont="1" applyFill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 shrinkToFit="1"/>
    </xf>
    <xf numFmtId="0" fontId="7" fillId="2" borderId="1" xfId="0" applyFont="1" applyFill="1" applyBorder="1" applyAlignment="1">
      <alignment horizontal="center" vertical="center" wrapText="1" shrinkToFit="1"/>
    </xf>
    <xf numFmtId="0" fontId="7" fillId="2" borderId="7" xfId="0" applyFont="1" applyFill="1" applyBorder="1" applyAlignment="1">
      <alignment horizontal="center" vertical="center" wrapText="1" shrinkToFit="1"/>
    </xf>
    <xf numFmtId="0" fontId="7" fillId="2" borderId="12" xfId="0" applyFont="1" applyFill="1" applyBorder="1" applyAlignment="1">
      <alignment horizontal="center" vertical="center" wrapText="1" shrinkToFit="1"/>
    </xf>
    <xf numFmtId="0" fontId="7" fillId="2" borderId="34" xfId="0" applyFont="1" applyFill="1" applyBorder="1" applyAlignment="1">
      <alignment horizontal="center" vertical="center" wrapText="1" shrinkToFit="1"/>
    </xf>
    <xf numFmtId="0" fontId="7" fillId="2" borderId="13" xfId="0" applyFont="1" applyFill="1" applyBorder="1" applyAlignment="1">
      <alignment horizontal="center" vertical="center" wrapText="1" shrinkToFit="1"/>
    </xf>
    <xf numFmtId="0" fontId="20" fillId="2" borderId="2" xfId="0" applyFont="1" applyFill="1" applyBorder="1" applyAlignment="1">
      <alignment horizontal="center" vertical="center" wrapText="1" shrinkToFit="1"/>
    </xf>
    <xf numFmtId="0" fontId="20" fillId="2" borderId="1" xfId="0" applyFont="1" applyFill="1" applyBorder="1" applyAlignment="1">
      <alignment horizontal="center" vertical="center" wrapText="1" shrinkToFit="1"/>
    </xf>
    <xf numFmtId="0" fontId="20" fillId="2" borderId="7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/>
    </xf>
    <xf numFmtId="0" fontId="42" fillId="19" borderId="1" xfId="0" applyFont="1" applyFill="1" applyBorder="1" applyAlignment="1">
      <alignment horizontal="center" vertical="center" wrapText="1"/>
    </xf>
    <xf numFmtId="0" fontId="42" fillId="19" borderId="7" xfId="0" applyFont="1" applyFill="1" applyBorder="1" applyAlignment="1">
      <alignment horizontal="center" vertical="center" wrapText="1"/>
    </xf>
    <xf numFmtId="0" fontId="18" fillId="2" borderId="9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 wrapText="1"/>
    </xf>
    <xf numFmtId="0" fontId="31" fillId="5" borderId="13" xfId="0" applyFont="1" applyFill="1" applyBorder="1" applyAlignment="1">
      <alignment horizontal="center" vertical="center" wrapText="1"/>
    </xf>
    <xf numFmtId="0" fontId="18" fillId="5" borderId="13" xfId="0" applyFont="1" applyFill="1" applyBorder="1" applyAlignment="1">
      <alignment horizontal="center" vertical="center" wrapText="1"/>
    </xf>
    <xf numFmtId="0" fontId="18" fillId="3" borderId="10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24" borderId="3" xfId="0" applyFont="1" applyFill="1" applyBorder="1" applyAlignment="1">
      <alignment horizontal="center" vertical="center"/>
    </xf>
    <xf numFmtId="0" fontId="18" fillId="24" borderId="12" xfId="0" applyFont="1" applyFill="1" applyBorder="1" applyAlignment="1">
      <alignment horizontal="center" vertical="center"/>
    </xf>
    <xf numFmtId="0" fontId="18" fillId="24" borderId="13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21" xfId="0" applyFont="1" applyFill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18" fillId="24" borderId="18" xfId="0" applyFont="1" applyFill="1" applyBorder="1" applyAlignment="1">
      <alignment horizontal="center" vertical="center"/>
    </xf>
    <xf numFmtId="0" fontId="18" fillId="24" borderId="15" xfId="0" applyFont="1" applyFill="1" applyBorder="1" applyAlignment="1">
      <alignment horizontal="center" vertical="center"/>
    </xf>
  </cellXfs>
  <cellStyles count="3">
    <cellStyle name="Normal 2" xfId="2"/>
    <cellStyle name="เครื่องหมายจุลภาค" xfId="1" builtinId="3"/>
    <cellStyle name="ปกติ" xfId="0" builtinId="0"/>
  </cellStyles>
  <dxfs count="0"/>
  <tableStyles count="0" defaultTableStyle="TableStyleMedium9" defaultPivotStyle="PivotStyleLight16"/>
  <colors>
    <mruColors>
      <color rgb="FF0000FF"/>
      <color rgb="FF66FF66"/>
      <color rgb="FFFFFF99"/>
      <color rgb="FFFF0000"/>
      <color rgb="FFFF6600"/>
      <color rgb="FFCCFFFF"/>
      <color rgb="FFFFFFCC"/>
      <color rgb="FF66FFFF"/>
      <color rgb="FF00FF00"/>
      <color rgb="FF00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183095</xdr:colOff>
      <xdr:row>16</xdr:row>
      <xdr:rowOff>56095</xdr:rowOff>
    </xdr:from>
    <xdr:to>
      <xdr:col>21</xdr:col>
      <xdr:colOff>158751</xdr:colOff>
      <xdr:row>17</xdr:row>
      <xdr:rowOff>78443</xdr:rowOff>
    </xdr:to>
    <xdr:grpSp>
      <xdr:nvGrpSpPr>
        <xdr:cNvPr id="2" name="Group 1"/>
        <xdr:cNvGrpSpPr/>
      </xdr:nvGrpSpPr>
      <xdr:grpSpPr>
        <a:xfrm>
          <a:off x="8598713" y="4538448"/>
          <a:ext cx="367862" cy="168024"/>
          <a:chOff x="3656807" y="4552950"/>
          <a:chExt cx="924718" cy="191294"/>
        </a:xfrm>
      </xdr:grpSpPr>
      <xdr:cxnSp macro="">
        <xdr:nvCxnSpPr>
          <xdr:cNvPr id="3" name="Straight Connector 2"/>
          <xdr:cNvCxnSpPr/>
        </xdr:nvCxnSpPr>
        <xdr:spPr>
          <a:xfrm>
            <a:off x="3657600" y="4743450"/>
            <a:ext cx="923925" cy="0"/>
          </a:xfrm>
          <a:prstGeom prst="line">
            <a:avLst/>
          </a:prstGeom>
          <a:ln w="254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Straight Arrow Connector 3"/>
          <xdr:cNvCxnSpPr/>
        </xdr:nvCxnSpPr>
        <xdr:spPr>
          <a:xfrm rot="5400000" flipH="1" flipV="1">
            <a:off x="3567113" y="4652963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Arrow Connector 4"/>
          <xdr:cNvCxnSpPr/>
        </xdr:nvCxnSpPr>
        <xdr:spPr>
          <a:xfrm rot="5400000" flipH="1" flipV="1">
            <a:off x="4482306" y="4642644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28</xdr:col>
      <xdr:colOff>219075</xdr:colOff>
      <xdr:row>16</xdr:row>
      <xdr:rowOff>66675</xdr:rowOff>
    </xdr:from>
    <xdr:to>
      <xdr:col>29</xdr:col>
      <xdr:colOff>257175</xdr:colOff>
      <xdr:row>17</xdr:row>
      <xdr:rowOff>112059</xdr:rowOff>
    </xdr:to>
    <xdr:grpSp>
      <xdr:nvGrpSpPr>
        <xdr:cNvPr id="7" name="Group 6"/>
        <xdr:cNvGrpSpPr/>
      </xdr:nvGrpSpPr>
      <xdr:grpSpPr>
        <a:xfrm>
          <a:off x="11548222" y="4549028"/>
          <a:ext cx="463924" cy="191060"/>
          <a:chOff x="3656807" y="4552950"/>
          <a:chExt cx="924718" cy="191294"/>
        </a:xfrm>
      </xdr:grpSpPr>
      <xdr:cxnSp macro="">
        <xdr:nvCxnSpPr>
          <xdr:cNvPr id="8" name="Straight Connector 7"/>
          <xdr:cNvCxnSpPr/>
        </xdr:nvCxnSpPr>
        <xdr:spPr>
          <a:xfrm>
            <a:off x="3657600" y="4743450"/>
            <a:ext cx="923925" cy="0"/>
          </a:xfrm>
          <a:prstGeom prst="line">
            <a:avLst/>
          </a:prstGeom>
          <a:ln w="254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Straight Arrow Connector 8"/>
          <xdr:cNvCxnSpPr/>
        </xdr:nvCxnSpPr>
        <xdr:spPr>
          <a:xfrm rot="5400000" flipH="1" flipV="1">
            <a:off x="3567113" y="4652963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Straight Arrow Connector 9"/>
          <xdr:cNvCxnSpPr/>
        </xdr:nvCxnSpPr>
        <xdr:spPr>
          <a:xfrm rot="5400000" flipH="1" flipV="1">
            <a:off x="4482306" y="4642644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560917</xdr:colOff>
      <xdr:row>0</xdr:row>
      <xdr:rowOff>158750</xdr:rowOff>
    </xdr:from>
    <xdr:to>
      <xdr:col>32</xdr:col>
      <xdr:colOff>592666</xdr:colOff>
      <xdr:row>2</xdr:row>
      <xdr:rowOff>31750</xdr:rowOff>
    </xdr:to>
    <xdr:sp macro="" textlink="">
      <xdr:nvSpPr>
        <xdr:cNvPr id="12" name="สี่เหลี่ยมมุมมน 11"/>
        <xdr:cNvSpPr/>
      </xdr:nvSpPr>
      <xdr:spPr>
        <a:xfrm>
          <a:off x="13705417" y="158750"/>
          <a:ext cx="878416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RM1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  <xdr:twoCellAnchor>
    <xdr:from>
      <xdr:col>12</xdr:col>
      <xdr:colOff>201083</xdr:colOff>
      <xdr:row>16</xdr:row>
      <xdr:rowOff>42334</xdr:rowOff>
    </xdr:from>
    <xdr:to>
      <xdr:col>13</xdr:col>
      <xdr:colOff>261408</xdr:colOff>
      <xdr:row>17</xdr:row>
      <xdr:rowOff>89647</xdr:rowOff>
    </xdr:to>
    <xdr:grpSp>
      <xdr:nvGrpSpPr>
        <xdr:cNvPr id="11" name="Group 1"/>
        <xdr:cNvGrpSpPr/>
      </xdr:nvGrpSpPr>
      <xdr:grpSpPr>
        <a:xfrm>
          <a:off x="5725583" y="4524687"/>
          <a:ext cx="474943" cy="192989"/>
          <a:chOff x="3656807" y="4552950"/>
          <a:chExt cx="924718" cy="191294"/>
        </a:xfrm>
      </xdr:grpSpPr>
      <xdr:cxnSp macro="">
        <xdr:nvCxnSpPr>
          <xdr:cNvPr id="13" name="Straight Connector 2"/>
          <xdr:cNvCxnSpPr/>
        </xdr:nvCxnSpPr>
        <xdr:spPr>
          <a:xfrm>
            <a:off x="3657600" y="4743450"/>
            <a:ext cx="923925" cy="0"/>
          </a:xfrm>
          <a:prstGeom prst="line">
            <a:avLst/>
          </a:prstGeom>
          <a:ln w="254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Arrow Connector 3"/>
          <xdr:cNvCxnSpPr/>
        </xdr:nvCxnSpPr>
        <xdr:spPr>
          <a:xfrm rot="5400000" flipH="1" flipV="1">
            <a:off x="3567113" y="4652963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Straight Arrow Connector 4"/>
          <xdr:cNvCxnSpPr/>
        </xdr:nvCxnSpPr>
        <xdr:spPr>
          <a:xfrm rot="5400000" flipH="1" flipV="1">
            <a:off x="4482306" y="4642644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257736</xdr:colOff>
      <xdr:row>64</xdr:row>
      <xdr:rowOff>9338</xdr:rowOff>
    </xdr:from>
    <xdr:to>
      <xdr:col>32</xdr:col>
      <xdr:colOff>34864</xdr:colOff>
      <xdr:row>89</xdr:row>
      <xdr:rowOff>145055</xdr:rowOff>
    </xdr:to>
    <xdr:pic>
      <xdr:nvPicPr>
        <xdr:cNvPr id="15873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5309" r="1257" b="5914"/>
        <a:stretch>
          <a:fillRect/>
        </a:stretch>
      </xdr:blipFill>
      <xdr:spPr bwMode="auto">
        <a:xfrm>
          <a:off x="257736" y="8727514"/>
          <a:ext cx="13571569" cy="7610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27</xdr:col>
      <xdr:colOff>63501</xdr:colOff>
      <xdr:row>155</xdr:row>
      <xdr:rowOff>254000</xdr:rowOff>
    </xdr:from>
    <xdr:to>
      <xdr:col>29</xdr:col>
      <xdr:colOff>550334</xdr:colOff>
      <xdr:row>156</xdr:row>
      <xdr:rowOff>169334</xdr:rowOff>
    </xdr:to>
    <xdr:sp macro="" textlink="">
      <xdr:nvSpPr>
        <xdr:cNvPr id="26" name="สี่เหลี่ยมผืนผ้า 25"/>
        <xdr:cNvSpPr/>
      </xdr:nvSpPr>
      <xdr:spPr>
        <a:xfrm>
          <a:off x="10837334" y="40301333"/>
          <a:ext cx="1333500" cy="264584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0</xdr:col>
      <xdr:colOff>0</xdr:colOff>
      <xdr:row>166</xdr:row>
      <xdr:rowOff>100853</xdr:rowOff>
    </xdr:from>
    <xdr:to>
      <xdr:col>31</xdr:col>
      <xdr:colOff>762000</xdr:colOff>
      <xdr:row>235</xdr:row>
      <xdr:rowOff>11205</xdr:rowOff>
    </xdr:to>
    <xdr:grpSp>
      <xdr:nvGrpSpPr>
        <xdr:cNvPr id="32" name="กลุ่ม 31"/>
        <xdr:cNvGrpSpPr/>
      </xdr:nvGrpSpPr>
      <xdr:grpSpPr>
        <a:xfrm>
          <a:off x="0" y="49317088"/>
          <a:ext cx="13704794" cy="23879735"/>
          <a:chOff x="0" y="43893441"/>
          <a:chExt cx="13592735" cy="23879735"/>
        </a:xfrm>
      </xdr:grpSpPr>
      <xdr:pic>
        <xdr:nvPicPr>
          <xdr:cNvPr id="158738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 t="5304" r="1137" b="4667"/>
          <a:stretch>
            <a:fillRect/>
          </a:stretch>
        </xdr:blipFill>
        <xdr:spPr bwMode="auto">
          <a:xfrm>
            <a:off x="0" y="43893441"/>
            <a:ext cx="13592735" cy="760879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8739" name="Picture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 t="5569" r="1218" b="4535"/>
          <a:stretch>
            <a:fillRect/>
          </a:stretch>
        </xdr:blipFill>
        <xdr:spPr bwMode="auto">
          <a:xfrm>
            <a:off x="0" y="51479824"/>
            <a:ext cx="13581529" cy="759758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8740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 t="5569" r="1218" b="7186"/>
          <a:stretch>
            <a:fillRect/>
          </a:stretch>
        </xdr:blipFill>
        <xdr:spPr bwMode="auto">
          <a:xfrm>
            <a:off x="0" y="59066207"/>
            <a:ext cx="13581529" cy="737347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58741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 t="71069" r="1300" b="13020"/>
          <a:stretch>
            <a:fillRect/>
          </a:stretch>
        </xdr:blipFill>
        <xdr:spPr bwMode="auto">
          <a:xfrm>
            <a:off x="0" y="66428470"/>
            <a:ext cx="13570324" cy="134470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29</xdr:col>
      <xdr:colOff>582706</xdr:colOff>
      <xdr:row>190</xdr:row>
      <xdr:rowOff>134470</xdr:rowOff>
    </xdr:from>
    <xdr:to>
      <xdr:col>31</xdr:col>
      <xdr:colOff>722157</xdr:colOff>
      <xdr:row>191</xdr:row>
      <xdr:rowOff>49805</xdr:rowOff>
    </xdr:to>
    <xdr:sp macro="" textlink="">
      <xdr:nvSpPr>
        <xdr:cNvPr id="33" name="สี่เหลี่ยมผืนผ้า 32"/>
        <xdr:cNvSpPr/>
      </xdr:nvSpPr>
      <xdr:spPr>
        <a:xfrm>
          <a:off x="12225618" y="52264235"/>
          <a:ext cx="1327274" cy="262717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 editAs="oneCell">
    <xdr:from>
      <xdr:col>0</xdr:col>
      <xdr:colOff>302559</xdr:colOff>
      <xdr:row>91</xdr:row>
      <xdr:rowOff>246530</xdr:rowOff>
    </xdr:from>
    <xdr:to>
      <xdr:col>32</xdr:col>
      <xdr:colOff>78442</xdr:colOff>
      <xdr:row>113</xdr:row>
      <xdr:rowOff>145676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t="5834" r="1324" b="4932"/>
        <a:stretch>
          <a:fillRect/>
        </a:stretch>
      </xdr:blipFill>
      <xdr:spPr bwMode="auto">
        <a:xfrm>
          <a:off x="302559" y="17133795"/>
          <a:ext cx="13570324" cy="7541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169333</xdr:rowOff>
    </xdr:from>
    <xdr:to>
      <xdr:col>7</xdr:col>
      <xdr:colOff>1333497</xdr:colOff>
      <xdr:row>1</xdr:row>
      <xdr:rowOff>243416</xdr:rowOff>
    </xdr:to>
    <xdr:sp macro="" textlink="">
      <xdr:nvSpPr>
        <xdr:cNvPr id="2" name="สี่เหลี่ยมมุมมน 1"/>
        <xdr:cNvSpPr/>
      </xdr:nvSpPr>
      <xdr:spPr>
        <a:xfrm>
          <a:off x="10138833" y="169333"/>
          <a:ext cx="857247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RM10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15</xdr:row>
      <xdr:rowOff>47622</xdr:rowOff>
    </xdr:from>
    <xdr:to>
      <xdr:col>8</xdr:col>
      <xdr:colOff>295275</xdr:colOff>
      <xdr:row>16</xdr:row>
      <xdr:rowOff>137582</xdr:rowOff>
    </xdr:to>
    <xdr:grpSp>
      <xdr:nvGrpSpPr>
        <xdr:cNvPr id="2" name="Group 1"/>
        <xdr:cNvGrpSpPr/>
      </xdr:nvGrpSpPr>
      <xdr:grpSpPr>
        <a:xfrm>
          <a:off x="4182533" y="5222872"/>
          <a:ext cx="578909" cy="206377"/>
          <a:chOff x="5381625" y="5048250"/>
          <a:chExt cx="800100" cy="180975"/>
        </a:xfrm>
      </xdr:grpSpPr>
      <xdr:cxnSp macro="">
        <xdr:nvCxnSpPr>
          <xdr:cNvPr id="3" name="Straight Connector 2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" name="Straight Connector 3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Straight Connector 4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238125</xdr:colOff>
      <xdr:row>15</xdr:row>
      <xdr:rowOff>9525</xdr:rowOff>
    </xdr:from>
    <xdr:to>
      <xdr:col>17</xdr:col>
      <xdr:colOff>0</xdr:colOff>
      <xdr:row>16</xdr:row>
      <xdr:rowOff>116416</xdr:rowOff>
    </xdr:to>
    <xdr:grpSp>
      <xdr:nvGrpSpPr>
        <xdr:cNvPr id="6" name="Group 5"/>
        <xdr:cNvGrpSpPr/>
      </xdr:nvGrpSpPr>
      <xdr:grpSpPr>
        <a:xfrm>
          <a:off x="7784042" y="5184775"/>
          <a:ext cx="672041" cy="223308"/>
          <a:chOff x="5381625" y="5048250"/>
          <a:chExt cx="800100" cy="180975"/>
        </a:xfrm>
      </xdr:grpSpPr>
      <xdr:cxnSp macro="">
        <xdr:nvCxnSpPr>
          <xdr:cNvPr id="7" name="Straight Connector 6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Straight Connector 7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Straight Connector 8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23</xdr:col>
      <xdr:colOff>228600</xdr:colOff>
      <xdr:row>15</xdr:row>
      <xdr:rowOff>28574</xdr:rowOff>
    </xdr:from>
    <xdr:to>
      <xdr:col>24</xdr:col>
      <xdr:colOff>295275</xdr:colOff>
      <xdr:row>16</xdr:row>
      <xdr:rowOff>105832</xdr:rowOff>
    </xdr:to>
    <xdr:grpSp>
      <xdr:nvGrpSpPr>
        <xdr:cNvPr id="10" name="Group 9"/>
        <xdr:cNvGrpSpPr/>
      </xdr:nvGrpSpPr>
      <xdr:grpSpPr>
        <a:xfrm>
          <a:off x="11510433" y="5203824"/>
          <a:ext cx="542925" cy="193675"/>
          <a:chOff x="5381625" y="5048250"/>
          <a:chExt cx="800100" cy="180975"/>
        </a:xfrm>
      </xdr:grpSpPr>
      <xdr:cxnSp macro="">
        <xdr:nvCxnSpPr>
          <xdr:cNvPr id="11" name="Straight Connector 10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Straight Connector 11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Straight Connector 12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22</xdr:col>
      <xdr:colOff>412750</xdr:colOff>
      <xdr:row>0</xdr:row>
      <xdr:rowOff>148167</xdr:rowOff>
    </xdr:from>
    <xdr:to>
      <xdr:col>25</xdr:col>
      <xdr:colOff>433917</xdr:colOff>
      <xdr:row>1</xdr:row>
      <xdr:rowOff>243417</xdr:rowOff>
    </xdr:to>
    <xdr:sp macro="" textlink="">
      <xdr:nvSpPr>
        <xdr:cNvPr id="14" name="สี่เหลี่ยมมุมมน 13"/>
        <xdr:cNvSpPr/>
      </xdr:nvSpPr>
      <xdr:spPr>
        <a:xfrm>
          <a:off x="11218333" y="148167"/>
          <a:ext cx="1449917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RM6</a:t>
          </a:r>
          <a:r>
            <a:rPr lang="th-TH" sz="1800" b="1">
              <a:solidFill>
                <a:sysClr val="windowText" lastClr="000000"/>
              </a:solidFill>
              <a:cs typeface="+mn-cs"/>
            </a:rPr>
            <a:t> - สมช.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277284</xdr:colOff>
      <xdr:row>16</xdr:row>
      <xdr:rowOff>37040</xdr:rowOff>
    </xdr:from>
    <xdr:to>
      <xdr:col>8</xdr:col>
      <xdr:colOff>222250</xdr:colOff>
      <xdr:row>17</xdr:row>
      <xdr:rowOff>52917</xdr:rowOff>
    </xdr:to>
    <xdr:grpSp>
      <xdr:nvGrpSpPr>
        <xdr:cNvPr id="2" name="Group 1"/>
        <xdr:cNvGrpSpPr/>
      </xdr:nvGrpSpPr>
      <xdr:grpSpPr>
        <a:xfrm>
          <a:off x="3388784" y="5138207"/>
          <a:ext cx="495299" cy="132293"/>
          <a:chOff x="5381625" y="5048250"/>
          <a:chExt cx="800100" cy="180975"/>
        </a:xfrm>
      </xdr:grpSpPr>
      <xdr:cxnSp macro="">
        <xdr:nvCxnSpPr>
          <xdr:cNvPr id="3" name="Straight Connector 2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" name="Straight Connector 3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Straight Connector 4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238125</xdr:colOff>
      <xdr:row>16</xdr:row>
      <xdr:rowOff>9525</xdr:rowOff>
    </xdr:from>
    <xdr:to>
      <xdr:col>19</xdr:col>
      <xdr:colOff>238125</xdr:colOff>
      <xdr:row>17</xdr:row>
      <xdr:rowOff>63500</xdr:rowOff>
    </xdr:to>
    <xdr:grpSp>
      <xdr:nvGrpSpPr>
        <xdr:cNvPr id="6" name="Group 5"/>
        <xdr:cNvGrpSpPr/>
      </xdr:nvGrpSpPr>
      <xdr:grpSpPr>
        <a:xfrm>
          <a:off x="8006292" y="5110692"/>
          <a:ext cx="1079500" cy="170391"/>
          <a:chOff x="5381625" y="5048250"/>
          <a:chExt cx="800100" cy="180975"/>
        </a:xfrm>
      </xdr:grpSpPr>
      <xdr:cxnSp macro="">
        <xdr:nvCxnSpPr>
          <xdr:cNvPr id="7" name="Straight Connector 6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Straight Connector 7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Straight Connector 8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228600</xdr:colOff>
      <xdr:row>16</xdr:row>
      <xdr:rowOff>28575</xdr:rowOff>
    </xdr:from>
    <xdr:to>
      <xdr:col>27</xdr:col>
      <xdr:colOff>295275</xdr:colOff>
      <xdr:row>17</xdr:row>
      <xdr:rowOff>74084</xdr:rowOff>
    </xdr:to>
    <xdr:grpSp>
      <xdr:nvGrpSpPr>
        <xdr:cNvPr id="10" name="Group 9"/>
        <xdr:cNvGrpSpPr/>
      </xdr:nvGrpSpPr>
      <xdr:grpSpPr>
        <a:xfrm>
          <a:off x="12198350" y="5129742"/>
          <a:ext cx="542925" cy="161925"/>
          <a:chOff x="5381625" y="5048250"/>
          <a:chExt cx="800100" cy="180975"/>
        </a:xfrm>
      </xdr:grpSpPr>
      <xdr:cxnSp macro="">
        <xdr:nvCxnSpPr>
          <xdr:cNvPr id="11" name="Straight Connector 10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Straight Connector 11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Straight Connector 12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42333</xdr:colOff>
      <xdr:row>0</xdr:row>
      <xdr:rowOff>84667</xdr:rowOff>
    </xdr:from>
    <xdr:to>
      <xdr:col>28</xdr:col>
      <xdr:colOff>285749</xdr:colOff>
      <xdr:row>1</xdr:row>
      <xdr:rowOff>179917</xdr:rowOff>
    </xdr:to>
    <xdr:sp macro="" textlink="">
      <xdr:nvSpPr>
        <xdr:cNvPr id="14" name="สี่เหลี่ยมมุมมน 13"/>
        <xdr:cNvSpPr/>
      </xdr:nvSpPr>
      <xdr:spPr>
        <a:xfrm>
          <a:off x="12488333" y="84667"/>
          <a:ext cx="878416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RM9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  <xdr:twoCellAnchor editAs="oneCell">
    <xdr:from>
      <xdr:col>3</xdr:col>
      <xdr:colOff>201083</xdr:colOff>
      <xdr:row>37</xdr:row>
      <xdr:rowOff>222251</xdr:rowOff>
    </xdr:from>
    <xdr:to>
      <xdr:col>32</xdr:col>
      <xdr:colOff>322791</xdr:colOff>
      <xdr:row>46</xdr:row>
      <xdr:rowOff>222251</xdr:rowOff>
    </xdr:to>
    <xdr:pic>
      <xdr:nvPicPr>
        <xdr:cNvPr id="13927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26071" b="37058"/>
        <a:stretch>
          <a:fillRect/>
        </a:stretch>
      </xdr:blipFill>
      <xdr:spPr bwMode="auto">
        <a:xfrm>
          <a:off x="1957916" y="10541001"/>
          <a:ext cx="13763625" cy="3143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690562</xdr:colOff>
      <xdr:row>0</xdr:row>
      <xdr:rowOff>107156</xdr:rowOff>
    </xdr:from>
    <xdr:to>
      <xdr:col>17</xdr:col>
      <xdr:colOff>711728</xdr:colOff>
      <xdr:row>1</xdr:row>
      <xdr:rowOff>178593</xdr:rowOff>
    </xdr:to>
    <xdr:sp macro="" textlink="">
      <xdr:nvSpPr>
        <xdr:cNvPr id="2" name="สี่เหลี่ยมมุมมน 1"/>
        <xdr:cNvSpPr/>
      </xdr:nvSpPr>
      <xdr:spPr>
        <a:xfrm>
          <a:off x="10525125" y="107156"/>
          <a:ext cx="878416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RM5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500062</xdr:colOff>
      <xdr:row>0</xdr:row>
      <xdr:rowOff>107156</xdr:rowOff>
    </xdr:from>
    <xdr:to>
      <xdr:col>12</xdr:col>
      <xdr:colOff>652197</xdr:colOff>
      <xdr:row>1</xdr:row>
      <xdr:rowOff>178593</xdr:rowOff>
    </xdr:to>
    <xdr:sp macro="" textlink="">
      <xdr:nvSpPr>
        <xdr:cNvPr id="2" name="สี่เหลี่ยมมุมมน 1"/>
        <xdr:cNvSpPr/>
      </xdr:nvSpPr>
      <xdr:spPr>
        <a:xfrm>
          <a:off x="9429750" y="107156"/>
          <a:ext cx="878416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RM7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  <xdr:twoCellAnchor>
    <xdr:from>
      <xdr:col>6</xdr:col>
      <xdr:colOff>440532</xdr:colOff>
      <xdr:row>16</xdr:row>
      <xdr:rowOff>83344</xdr:rowOff>
    </xdr:from>
    <xdr:to>
      <xdr:col>7</xdr:col>
      <xdr:colOff>285750</xdr:colOff>
      <xdr:row>16</xdr:row>
      <xdr:rowOff>273844</xdr:rowOff>
    </xdr:to>
    <xdr:grpSp>
      <xdr:nvGrpSpPr>
        <xdr:cNvPr id="3" name="Group 1"/>
        <xdr:cNvGrpSpPr/>
      </xdr:nvGrpSpPr>
      <xdr:grpSpPr>
        <a:xfrm>
          <a:off x="4957588" y="4748789"/>
          <a:ext cx="728068" cy="190500"/>
          <a:chOff x="3656807" y="4552950"/>
          <a:chExt cx="924718" cy="191294"/>
        </a:xfrm>
      </xdr:grpSpPr>
      <xdr:cxnSp macro="">
        <xdr:nvCxnSpPr>
          <xdr:cNvPr id="4" name="Straight Connector 2"/>
          <xdr:cNvCxnSpPr/>
        </xdr:nvCxnSpPr>
        <xdr:spPr>
          <a:xfrm>
            <a:off x="3657600" y="4743450"/>
            <a:ext cx="923925" cy="0"/>
          </a:xfrm>
          <a:prstGeom prst="line">
            <a:avLst/>
          </a:prstGeom>
          <a:ln w="254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Arrow Connector 3"/>
          <xdr:cNvCxnSpPr/>
        </xdr:nvCxnSpPr>
        <xdr:spPr>
          <a:xfrm rot="5400000" flipH="1" flipV="1">
            <a:off x="3567113" y="4652963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Arrow Connector 4"/>
          <xdr:cNvCxnSpPr/>
        </xdr:nvCxnSpPr>
        <xdr:spPr>
          <a:xfrm rot="5400000" flipH="1" flipV="1">
            <a:off x="4482306" y="4642644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9526</xdr:colOff>
      <xdr:row>40</xdr:row>
      <xdr:rowOff>188118</xdr:rowOff>
    </xdr:from>
    <xdr:to>
      <xdr:col>13</xdr:col>
      <xdr:colOff>133469</xdr:colOff>
      <xdr:row>48</xdr:row>
      <xdr:rowOff>342900</xdr:rowOff>
    </xdr:to>
    <xdr:pic>
      <xdr:nvPicPr>
        <xdr:cNvPr id="16999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5071" b="61212"/>
        <a:stretch>
          <a:fillRect/>
        </a:stretch>
      </xdr:blipFill>
      <xdr:spPr bwMode="auto">
        <a:xfrm>
          <a:off x="9526" y="13427868"/>
          <a:ext cx="10201393" cy="2974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57150</xdr:colOff>
      <xdr:row>49</xdr:row>
      <xdr:rowOff>9526</xdr:rowOff>
    </xdr:from>
    <xdr:to>
      <xdr:col>13</xdr:col>
      <xdr:colOff>123825</xdr:colOff>
      <xdr:row>63</xdr:row>
      <xdr:rowOff>123826</xdr:rowOff>
    </xdr:to>
    <xdr:pic>
      <xdr:nvPicPr>
        <xdr:cNvPr id="1699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t="5222" b="35556"/>
        <a:stretch>
          <a:fillRect/>
        </a:stretch>
      </xdr:blipFill>
      <xdr:spPr bwMode="auto">
        <a:xfrm>
          <a:off x="57150" y="16421101"/>
          <a:ext cx="10144125" cy="504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248973</xdr:colOff>
      <xdr:row>16</xdr:row>
      <xdr:rowOff>28575</xdr:rowOff>
    </xdr:from>
    <xdr:to>
      <xdr:col>19</xdr:col>
      <xdr:colOff>222250</xdr:colOff>
      <xdr:row>16</xdr:row>
      <xdr:rowOff>211666</xdr:rowOff>
    </xdr:to>
    <xdr:grpSp>
      <xdr:nvGrpSpPr>
        <xdr:cNvPr id="7" name="Group 6"/>
        <xdr:cNvGrpSpPr/>
      </xdr:nvGrpSpPr>
      <xdr:grpSpPr>
        <a:xfrm>
          <a:off x="7435056" y="5605992"/>
          <a:ext cx="438944" cy="183091"/>
          <a:chOff x="3656807" y="4552950"/>
          <a:chExt cx="924718" cy="191294"/>
        </a:xfrm>
      </xdr:grpSpPr>
      <xdr:cxnSp macro="">
        <xdr:nvCxnSpPr>
          <xdr:cNvPr id="3" name="Straight Connector 2"/>
          <xdr:cNvCxnSpPr/>
        </xdr:nvCxnSpPr>
        <xdr:spPr>
          <a:xfrm>
            <a:off x="3657600" y="4743450"/>
            <a:ext cx="923925" cy="0"/>
          </a:xfrm>
          <a:prstGeom prst="line">
            <a:avLst/>
          </a:prstGeom>
          <a:ln w="254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Arrow Connector 4"/>
          <xdr:cNvCxnSpPr/>
        </xdr:nvCxnSpPr>
        <xdr:spPr>
          <a:xfrm rot="5400000" flipH="1" flipV="1">
            <a:off x="3567113" y="4652963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Arrow Connector 5"/>
          <xdr:cNvCxnSpPr/>
        </xdr:nvCxnSpPr>
        <xdr:spPr>
          <a:xfrm rot="5400000" flipH="1" flipV="1">
            <a:off x="4482306" y="4642644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179916</xdr:colOff>
      <xdr:row>16</xdr:row>
      <xdr:rowOff>31751</xdr:rowOff>
    </xdr:from>
    <xdr:to>
      <xdr:col>8</xdr:col>
      <xdr:colOff>179916</xdr:colOff>
      <xdr:row>16</xdr:row>
      <xdr:rowOff>179916</xdr:rowOff>
    </xdr:to>
    <xdr:grpSp>
      <xdr:nvGrpSpPr>
        <xdr:cNvPr id="8" name="Group 6"/>
        <xdr:cNvGrpSpPr/>
      </xdr:nvGrpSpPr>
      <xdr:grpSpPr>
        <a:xfrm>
          <a:off x="2931583" y="5609168"/>
          <a:ext cx="433916" cy="148165"/>
          <a:chOff x="3656807" y="4552950"/>
          <a:chExt cx="924718" cy="191294"/>
        </a:xfrm>
      </xdr:grpSpPr>
      <xdr:cxnSp macro="">
        <xdr:nvCxnSpPr>
          <xdr:cNvPr id="9" name="Straight Connector 2"/>
          <xdr:cNvCxnSpPr/>
        </xdr:nvCxnSpPr>
        <xdr:spPr>
          <a:xfrm>
            <a:off x="3657600" y="4743450"/>
            <a:ext cx="923925" cy="0"/>
          </a:xfrm>
          <a:prstGeom prst="line">
            <a:avLst/>
          </a:prstGeom>
          <a:ln w="254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Straight Arrow Connector 4"/>
          <xdr:cNvCxnSpPr/>
        </xdr:nvCxnSpPr>
        <xdr:spPr>
          <a:xfrm rot="5400000" flipH="1" flipV="1">
            <a:off x="3567113" y="4652963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Arrow Connector 5"/>
          <xdr:cNvCxnSpPr/>
        </xdr:nvCxnSpPr>
        <xdr:spPr>
          <a:xfrm rot="5400000" flipH="1" flipV="1">
            <a:off x="4482306" y="4642644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33</xdr:col>
      <xdr:colOff>158750</xdr:colOff>
      <xdr:row>0</xdr:row>
      <xdr:rowOff>137583</xdr:rowOff>
    </xdr:from>
    <xdr:to>
      <xdr:col>35</xdr:col>
      <xdr:colOff>201083</xdr:colOff>
      <xdr:row>1</xdr:row>
      <xdr:rowOff>179916</xdr:rowOff>
    </xdr:to>
    <xdr:sp macro="" textlink="">
      <xdr:nvSpPr>
        <xdr:cNvPr id="12" name="สี่เหลี่ยมมุมมน 11"/>
        <xdr:cNvSpPr/>
      </xdr:nvSpPr>
      <xdr:spPr>
        <a:xfrm>
          <a:off x="12975167" y="137583"/>
          <a:ext cx="878416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RM2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158754</xdr:colOff>
      <xdr:row>0</xdr:row>
      <xdr:rowOff>148167</xdr:rowOff>
    </xdr:from>
    <xdr:to>
      <xdr:col>11</xdr:col>
      <xdr:colOff>980020</xdr:colOff>
      <xdr:row>1</xdr:row>
      <xdr:rowOff>243417</xdr:rowOff>
    </xdr:to>
    <xdr:sp macro="" textlink="">
      <xdr:nvSpPr>
        <xdr:cNvPr id="2" name="สี่เหลี่ยมมุมมน 1"/>
        <xdr:cNvSpPr/>
      </xdr:nvSpPr>
      <xdr:spPr>
        <a:xfrm>
          <a:off x="8667754" y="148167"/>
          <a:ext cx="821266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RM3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  <xdr:twoCellAnchor>
    <xdr:from>
      <xdr:col>6</xdr:col>
      <xdr:colOff>42334</xdr:colOff>
      <xdr:row>9</xdr:row>
      <xdr:rowOff>31749</xdr:rowOff>
    </xdr:from>
    <xdr:to>
      <xdr:col>6</xdr:col>
      <xdr:colOff>412750</xdr:colOff>
      <xdr:row>10</xdr:row>
      <xdr:rowOff>95250</xdr:rowOff>
    </xdr:to>
    <xdr:sp macro="" textlink="">
      <xdr:nvSpPr>
        <xdr:cNvPr id="3" name="วงรี 2"/>
        <xdr:cNvSpPr/>
      </xdr:nvSpPr>
      <xdr:spPr>
        <a:xfrm>
          <a:off x="5175251" y="2719916"/>
          <a:ext cx="370416" cy="37041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7</xdr:col>
      <xdr:colOff>370415</xdr:colOff>
      <xdr:row>25</xdr:row>
      <xdr:rowOff>42333</xdr:rowOff>
    </xdr:from>
    <xdr:to>
      <xdr:col>8</xdr:col>
      <xdr:colOff>412749</xdr:colOff>
      <xdr:row>25</xdr:row>
      <xdr:rowOff>243416</xdr:rowOff>
    </xdr:to>
    <xdr:grpSp>
      <xdr:nvGrpSpPr>
        <xdr:cNvPr id="4" name="Group 6"/>
        <xdr:cNvGrpSpPr/>
      </xdr:nvGrpSpPr>
      <xdr:grpSpPr>
        <a:xfrm>
          <a:off x="5958415" y="4572000"/>
          <a:ext cx="762001" cy="201083"/>
          <a:chOff x="3656807" y="4552950"/>
          <a:chExt cx="924718" cy="191294"/>
        </a:xfrm>
      </xdr:grpSpPr>
      <xdr:cxnSp macro="">
        <xdr:nvCxnSpPr>
          <xdr:cNvPr id="5" name="Straight Connector 2"/>
          <xdr:cNvCxnSpPr/>
        </xdr:nvCxnSpPr>
        <xdr:spPr>
          <a:xfrm>
            <a:off x="3657600" y="4743450"/>
            <a:ext cx="923925" cy="0"/>
          </a:xfrm>
          <a:prstGeom prst="line">
            <a:avLst/>
          </a:prstGeom>
          <a:ln w="254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Arrow Connector 4"/>
          <xdr:cNvCxnSpPr/>
        </xdr:nvCxnSpPr>
        <xdr:spPr>
          <a:xfrm rot="5400000" flipH="1" flipV="1">
            <a:off x="3567113" y="4652963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Arrow Connector 5"/>
          <xdr:cNvCxnSpPr/>
        </xdr:nvCxnSpPr>
        <xdr:spPr>
          <a:xfrm rot="5400000" flipH="1" flipV="1">
            <a:off x="4482306" y="4642644"/>
            <a:ext cx="180975" cy="1588"/>
          </a:xfrm>
          <a:prstGeom prst="straightConnector1">
            <a:avLst/>
          </a:prstGeom>
          <a:ln w="25400">
            <a:solidFill>
              <a:srgbClr val="C00000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218016</xdr:colOff>
      <xdr:row>15</xdr:row>
      <xdr:rowOff>29632</xdr:rowOff>
    </xdr:from>
    <xdr:to>
      <xdr:col>8</xdr:col>
      <xdr:colOff>208491</xdr:colOff>
      <xdr:row>15</xdr:row>
      <xdr:rowOff>219075</xdr:rowOff>
    </xdr:to>
    <xdr:grpSp>
      <xdr:nvGrpSpPr>
        <xdr:cNvPr id="2" name="Group 1"/>
        <xdr:cNvGrpSpPr/>
      </xdr:nvGrpSpPr>
      <xdr:grpSpPr>
        <a:xfrm>
          <a:off x="3520016" y="4802715"/>
          <a:ext cx="445558" cy="189443"/>
          <a:chOff x="5381625" y="5048250"/>
          <a:chExt cx="800100" cy="180975"/>
        </a:xfrm>
      </xdr:grpSpPr>
      <xdr:cxnSp macro="">
        <xdr:nvCxnSpPr>
          <xdr:cNvPr id="3" name="Straight Connector 2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" name="Straight Connector 3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Straight Connector 4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23</xdr:col>
      <xdr:colOff>158750</xdr:colOff>
      <xdr:row>0</xdr:row>
      <xdr:rowOff>95250</xdr:rowOff>
    </xdr:from>
    <xdr:to>
      <xdr:col>24</xdr:col>
      <xdr:colOff>560916</xdr:colOff>
      <xdr:row>1</xdr:row>
      <xdr:rowOff>169333</xdr:rowOff>
    </xdr:to>
    <xdr:sp macro="" textlink="">
      <xdr:nvSpPr>
        <xdr:cNvPr id="6" name="สี่เหลี่ยมมุมมน 5"/>
        <xdr:cNvSpPr/>
      </xdr:nvSpPr>
      <xdr:spPr>
        <a:xfrm>
          <a:off x="10604500" y="95250"/>
          <a:ext cx="878416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RM4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323850</xdr:colOff>
      <xdr:row>15</xdr:row>
      <xdr:rowOff>76200</xdr:rowOff>
    </xdr:from>
    <xdr:to>
      <xdr:col>16</xdr:col>
      <xdr:colOff>390525</xdr:colOff>
      <xdr:row>16</xdr:row>
      <xdr:rowOff>66675</xdr:rowOff>
    </xdr:to>
    <xdr:grpSp>
      <xdr:nvGrpSpPr>
        <xdr:cNvPr id="2" name="Group 1"/>
        <xdr:cNvGrpSpPr/>
      </xdr:nvGrpSpPr>
      <xdr:grpSpPr>
        <a:xfrm>
          <a:off x="8261350" y="4373033"/>
          <a:ext cx="1336675" cy="212725"/>
          <a:chOff x="5381625" y="5048250"/>
          <a:chExt cx="800100" cy="180975"/>
        </a:xfrm>
      </xdr:grpSpPr>
      <xdr:cxnSp macro="">
        <xdr:nvCxnSpPr>
          <xdr:cNvPr id="3" name="Straight Connector 2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" name="Straight Connector 3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Straight Connector 4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391580</xdr:colOff>
      <xdr:row>0</xdr:row>
      <xdr:rowOff>137584</xdr:rowOff>
    </xdr:from>
    <xdr:to>
      <xdr:col>17</xdr:col>
      <xdr:colOff>677329</xdr:colOff>
      <xdr:row>2</xdr:row>
      <xdr:rowOff>31751</xdr:rowOff>
    </xdr:to>
    <xdr:sp macro="" textlink="">
      <xdr:nvSpPr>
        <xdr:cNvPr id="6" name="สี่เหลี่ยมมุมมน 5"/>
        <xdr:cNvSpPr/>
      </xdr:nvSpPr>
      <xdr:spPr>
        <a:xfrm>
          <a:off x="9599080" y="137584"/>
          <a:ext cx="878416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RM5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63500</xdr:colOff>
      <xdr:row>0</xdr:row>
      <xdr:rowOff>105833</xdr:rowOff>
    </xdr:from>
    <xdr:to>
      <xdr:col>24</xdr:col>
      <xdr:colOff>412749</xdr:colOff>
      <xdr:row>1</xdr:row>
      <xdr:rowOff>179916</xdr:rowOff>
    </xdr:to>
    <xdr:sp macro="" textlink="">
      <xdr:nvSpPr>
        <xdr:cNvPr id="2" name="สี่เหลี่ยมมุมมน 1"/>
        <xdr:cNvSpPr/>
      </xdr:nvSpPr>
      <xdr:spPr>
        <a:xfrm>
          <a:off x="11652250" y="105833"/>
          <a:ext cx="878416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RM11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15</xdr:row>
      <xdr:rowOff>47625</xdr:rowOff>
    </xdr:from>
    <xdr:to>
      <xdr:col>8</xdr:col>
      <xdr:colOff>295275</xdr:colOff>
      <xdr:row>45</xdr:row>
      <xdr:rowOff>0</xdr:rowOff>
    </xdr:to>
    <xdr:grpSp>
      <xdr:nvGrpSpPr>
        <xdr:cNvPr id="2" name="Group 1"/>
        <xdr:cNvGrpSpPr/>
      </xdr:nvGrpSpPr>
      <xdr:grpSpPr>
        <a:xfrm>
          <a:off x="1392518" y="3872566"/>
          <a:ext cx="0" cy="6962775"/>
          <a:chOff x="5381625" y="5048250"/>
          <a:chExt cx="800100" cy="180975"/>
        </a:xfrm>
      </xdr:grpSpPr>
      <xdr:cxnSp macro="">
        <xdr:nvCxnSpPr>
          <xdr:cNvPr id="3" name="Straight Connector 2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" name="Straight Connector 3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Straight Connector 4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238125</xdr:colOff>
      <xdr:row>15</xdr:row>
      <xdr:rowOff>37434</xdr:rowOff>
    </xdr:from>
    <xdr:to>
      <xdr:col>16</xdr:col>
      <xdr:colOff>359834</xdr:colOff>
      <xdr:row>15</xdr:row>
      <xdr:rowOff>201084</xdr:rowOff>
    </xdr:to>
    <xdr:grpSp>
      <xdr:nvGrpSpPr>
        <xdr:cNvPr id="14" name="Group 13"/>
        <xdr:cNvGrpSpPr/>
      </xdr:nvGrpSpPr>
      <xdr:grpSpPr>
        <a:xfrm>
          <a:off x="4114800" y="3866484"/>
          <a:ext cx="578909" cy="163650"/>
          <a:chOff x="3984625" y="4545931"/>
          <a:chExt cx="883770" cy="1649158"/>
        </a:xfrm>
      </xdr:grpSpPr>
      <xdr:cxnSp macro="">
        <xdr:nvCxnSpPr>
          <xdr:cNvPr id="7" name="Straight Connector 6"/>
          <xdr:cNvCxnSpPr/>
        </xdr:nvCxnSpPr>
        <xdr:spPr>
          <a:xfrm rot="5400000">
            <a:off x="3172486" y="5368590"/>
            <a:ext cx="1645318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Straight Connector 7"/>
          <xdr:cNvCxnSpPr/>
        </xdr:nvCxnSpPr>
        <xdr:spPr>
          <a:xfrm>
            <a:off x="3984625" y="6191249"/>
            <a:ext cx="883708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Straight Connector 8"/>
          <xdr:cNvCxnSpPr/>
        </xdr:nvCxnSpPr>
        <xdr:spPr>
          <a:xfrm rot="5400000">
            <a:off x="4045736" y="5372430"/>
            <a:ext cx="1645318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23</xdr:col>
      <xdr:colOff>228600</xdr:colOff>
      <xdr:row>15</xdr:row>
      <xdr:rowOff>26518</xdr:rowOff>
    </xdr:from>
    <xdr:to>
      <xdr:col>24</xdr:col>
      <xdr:colOff>299395</xdr:colOff>
      <xdr:row>15</xdr:row>
      <xdr:rowOff>179917</xdr:rowOff>
    </xdr:to>
    <xdr:grpSp>
      <xdr:nvGrpSpPr>
        <xdr:cNvPr id="15" name="Group 14"/>
        <xdr:cNvGrpSpPr/>
      </xdr:nvGrpSpPr>
      <xdr:grpSpPr>
        <a:xfrm>
          <a:off x="9010650" y="3855568"/>
          <a:ext cx="851845" cy="153399"/>
          <a:chOff x="8028517" y="4566763"/>
          <a:chExt cx="547045" cy="1679460"/>
        </a:xfrm>
      </xdr:grpSpPr>
      <xdr:cxnSp macro="">
        <xdr:nvCxnSpPr>
          <xdr:cNvPr id="11" name="Straight Connector 10"/>
          <xdr:cNvCxnSpPr/>
        </xdr:nvCxnSpPr>
        <xdr:spPr>
          <a:xfrm rot="5400000">
            <a:off x="7196279" y="5405464"/>
            <a:ext cx="1677402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Straight Connector 11"/>
          <xdr:cNvCxnSpPr/>
        </xdr:nvCxnSpPr>
        <xdr:spPr>
          <a:xfrm>
            <a:off x="8028517" y="6244165"/>
            <a:ext cx="542925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Straight Connector 12"/>
          <xdr:cNvCxnSpPr/>
        </xdr:nvCxnSpPr>
        <xdr:spPr>
          <a:xfrm rot="5400000">
            <a:off x="7736861" y="5407522"/>
            <a:ext cx="1677402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23</xdr:col>
      <xdr:colOff>571500</xdr:colOff>
      <xdr:row>1</xdr:row>
      <xdr:rowOff>84667</xdr:rowOff>
    </xdr:from>
    <xdr:to>
      <xdr:col>25</xdr:col>
      <xdr:colOff>359832</xdr:colOff>
      <xdr:row>2</xdr:row>
      <xdr:rowOff>179917</xdr:rowOff>
    </xdr:to>
    <xdr:sp macro="" textlink="">
      <xdr:nvSpPr>
        <xdr:cNvPr id="16" name="Rounded Rectangle 15"/>
        <xdr:cNvSpPr/>
      </xdr:nvSpPr>
      <xdr:spPr>
        <a:xfrm>
          <a:off x="10371667" y="370417"/>
          <a:ext cx="1047748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 b="1">
              <a:solidFill>
                <a:srgbClr val="0000FF"/>
              </a:solidFill>
            </a:rPr>
            <a:t>สมช.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190500</xdr:colOff>
      <xdr:row>0</xdr:row>
      <xdr:rowOff>137582</xdr:rowOff>
    </xdr:from>
    <xdr:to>
      <xdr:col>29</xdr:col>
      <xdr:colOff>476250</xdr:colOff>
      <xdr:row>1</xdr:row>
      <xdr:rowOff>264582</xdr:rowOff>
    </xdr:to>
    <xdr:sp macro="" textlink="">
      <xdr:nvSpPr>
        <xdr:cNvPr id="2" name="สี่เหลี่ยมมุมมน 1"/>
        <xdr:cNvSpPr/>
      </xdr:nvSpPr>
      <xdr:spPr>
        <a:xfrm>
          <a:off x="15451667" y="137582"/>
          <a:ext cx="793750" cy="433917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RM12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190500</xdr:colOff>
      <xdr:row>0</xdr:row>
      <xdr:rowOff>158750</xdr:rowOff>
    </xdr:from>
    <xdr:to>
      <xdr:col>16</xdr:col>
      <xdr:colOff>1047747</xdr:colOff>
      <xdr:row>1</xdr:row>
      <xdr:rowOff>232833</xdr:rowOff>
    </xdr:to>
    <xdr:sp macro="" textlink="">
      <xdr:nvSpPr>
        <xdr:cNvPr id="2" name="สี่เหลี่ยมมุมมน 1"/>
        <xdr:cNvSpPr/>
      </xdr:nvSpPr>
      <xdr:spPr>
        <a:xfrm>
          <a:off x="12721167" y="158750"/>
          <a:ext cx="857247" cy="381000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>
              <a:solidFill>
                <a:sysClr val="windowText" lastClr="000000"/>
              </a:solidFill>
              <a:cs typeface="+mn-cs"/>
            </a:rPr>
            <a:t>RM13</a:t>
          </a:r>
          <a:endParaRPr lang="th-TH" sz="1800" b="1">
            <a:solidFill>
              <a:sysClr val="windowText" lastClr="000000"/>
            </a:solidFill>
            <a:cs typeface="+mn-cs"/>
          </a:endParaRPr>
        </a:p>
      </xdr:txBody>
    </xdr:sp>
    <xdr:clientData/>
  </xdr:twoCellAnchor>
  <xdr:twoCellAnchor>
    <xdr:from>
      <xdr:col>10</xdr:col>
      <xdr:colOff>486835</xdr:colOff>
      <xdr:row>15</xdr:row>
      <xdr:rowOff>84667</xdr:rowOff>
    </xdr:from>
    <xdr:to>
      <xdr:col>11</xdr:col>
      <xdr:colOff>391584</xdr:colOff>
      <xdr:row>15</xdr:row>
      <xdr:rowOff>296334</xdr:rowOff>
    </xdr:to>
    <xdr:grpSp>
      <xdr:nvGrpSpPr>
        <xdr:cNvPr id="3" name="Group 1"/>
        <xdr:cNvGrpSpPr/>
      </xdr:nvGrpSpPr>
      <xdr:grpSpPr>
        <a:xfrm>
          <a:off x="4116918" y="5715000"/>
          <a:ext cx="857249" cy="211667"/>
          <a:chOff x="5381625" y="5048250"/>
          <a:chExt cx="800100" cy="180975"/>
        </a:xfrm>
      </xdr:grpSpPr>
      <xdr:cxnSp macro="">
        <xdr:nvCxnSpPr>
          <xdr:cNvPr id="4" name="Straight Connector 2"/>
          <xdr:cNvCxnSpPr/>
        </xdr:nvCxnSpPr>
        <xdr:spPr>
          <a:xfrm rot="5400000">
            <a:off x="5305425" y="5143500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Straight Connector 3"/>
          <xdr:cNvCxnSpPr/>
        </xdr:nvCxnSpPr>
        <xdr:spPr>
          <a:xfrm>
            <a:off x="5381625" y="5229225"/>
            <a:ext cx="800100" cy="0"/>
          </a:xfrm>
          <a:prstGeom prst="line">
            <a:avLst/>
          </a:prstGeom>
          <a:ln w="25400">
            <a:solidFill>
              <a:srgbClr val="0000FF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Straight Connector 4"/>
          <xdr:cNvCxnSpPr/>
        </xdr:nvCxnSpPr>
        <xdr:spPr>
          <a:xfrm rot="5400000">
            <a:off x="6086475" y="5133975"/>
            <a:ext cx="171450" cy="0"/>
          </a:xfrm>
          <a:prstGeom prst="line">
            <a:avLst/>
          </a:prstGeom>
          <a:ln w="25400">
            <a:solidFill>
              <a:srgbClr val="0000FF"/>
            </a:solidFill>
            <a:head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tabColor rgb="FFFF0000"/>
  </sheetPr>
  <dimension ref="A1:BU73"/>
  <sheetViews>
    <sheetView tabSelected="1" zoomScale="85" zoomScaleNormal="85" workbookViewId="0">
      <pane ySplit="2" topLeftCell="A3" activePane="bottomLeft" state="frozen"/>
      <selection pane="bottomLeft" activeCell="T24" sqref="T24"/>
    </sheetView>
  </sheetViews>
  <sheetFormatPr defaultRowHeight="27.75" customHeight="1"/>
  <cols>
    <col min="1" max="1" width="9.5703125" style="24" customWidth="1"/>
    <col min="2" max="2" width="13.42578125" style="24" customWidth="1"/>
    <col min="3" max="3" width="8" style="24" customWidth="1"/>
    <col min="4" max="4" width="8.42578125" style="24" customWidth="1"/>
    <col min="5" max="5" width="8.28515625" style="24" hidden="1" customWidth="1"/>
    <col min="6" max="6" width="9" style="24" customWidth="1"/>
    <col min="7" max="7" width="8.28515625" style="24" customWidth="1"/>
    <col min="8" max="12" width="5.140625" style="24" customWidth="1"/>
    <col min="13" max="13" width="6.140625" style="24" customWidth="1"/>
    <col min="14" max="14" width="5.42578125" style="24" customWidth="1"/>
    <col min="15" max="15" width="7.140625" style="24" customWidth="1"/>
    <col min="16" max="16" width="5.5703125" style="24" customWidth="1"/>
    <col min="17" max="19" width="4.7109375" style="24" customWidth="1"/>
    <col min="20" max="20" width="4.85546875" style="24" customWidth="1"/>
    <col min="21" max="21" width="5.85546875" style="24" customWidth="1"/>
    <col min="22" max="22" width="5" style="24" customWidth="1"/>
    <col min="23" max="23" width="7.140625" style="24" customWidth="1"/>
    <col min="24" max="25" width="4.42578125" style="24" customWidth="1"/>
    <col min="26" max="26" width="5.42578125" style="24" customWidth="1"/>
    <col min="27" max="27" width="5.28515625" style="24" customWidth="1"/>
    <col min="28" max="28" width="6.140625" style="24" customWidth="1"/>
    <col min="29" max="29" width="6.42578125" style="24" customWidth="1"/>
    <col min="30" max="31" width="8.85546875" style="24" customWidth="1"/>
    <col min="32" max="32" width="12.7109375" style="94" customWidth="1"/>
    <col min="33" max="33" width="11.85546875" style="95" customWidth="1"/>
    <col min="34" max="42" width="9.140625" style="95"/>
    <col min="43" max="16384" width="9.140625" style="24"/>
  </cols>
  <sheetData>
    <row r="1" spans="1:73" ht="20.25" customHeight="1">
      <c r="A1" s="514" t="s">
        <v>278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  <c r="AE1" s="514"/>
      <c r="AF1" s="514"/>
      <c r="AG1" s="514"/>
    </row>
    <row r="2" spans="1:73" ht="20.25" customHeight="1">
      <c r="A2" s="515" t="s">
        <v>15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</row>
    <row r="3" spans="1:73" s="25" customFormat="1" ht="19.5" customHeight="1">
      <c r="A3" s="23" t="s">
        <v>17</v>
      </c>
      <c r="B3" s="23"/>
      <c r="C3" s="23"/>
      <c r="D3" s="23"/>
      <c r="E3" s="23"/>
      <c r="F3" s="23"/>
      <c r="G3" s="23"/>
      <c r="AF3" s="96"/>
      <c r="AG3" s="87"/>
      <c r="AH3" s="87"/>
      <c r="AI3" s="87"/>
      <c r="AJ3" s="87"/>
      <c r="AK3" s="87"/>
      <c r="AL3" s="87"/>
      <c r="AM3" s="87"/>
      <c r="AN3" s="87"/>
      <c r="AO3" s="87"/>
      <c r="AP3" s="87"/>
    </row>
    <row r="4" spans="1:73" s="25" customFormat="1" ht="7.5" customHeight="1">
      <c r="A4" s="23"/>
      <c r="B4" s="23"/>
      <c r="C4" s="23"/>
      <c r="D4" s="23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AF4" s="96"/>
      <c r="AG4" s="87"/>
      <c r="AH4" s="87"/>
      <c r="AI4" s="87"/>
      <c r="AJ4" s="87"/>
      <c r="AK4" s="87"/>
      <c r="AL4" s="87"/>
      <c r="AM4" s="87"/>
      <c r="AN4" s="87"/>
      <c r="AO4" s="87"/>
      <c r="AP4" s="87"/>
    </row>
    <row r="5" spans="1:73" s="100" customFormat="1" ht="26.25" customHeight="1">
      <c r="A5" s="524" t="s">
        <v>13</v>
      </c>
      <c r="B5" s="531" t="s">
        <v>55</v>
      </c>
      <c r="C5" s="531" t="s">
        <v>35</v>
      </c>
      <c r="D5" s="539"/>
      <c r="E5" s="531" t="s">
        <v>111</v>
      </c>
      <c r="F5" s="552"/>
      <c r="G5" s="552"/>
      <c r="H5" s="554" t="s">
        <v>66</v>
      </c>
      <c r="I5" s="555"/>
      <c r="J5" s="555"/>
      <c r="K5" s="555"/>
      <c r="L5" s="555"/>
      <c r="M5" s="555"/>
      <c r="N5" s="555"/>
      <c r="O5" s="556"/>
      <c r="P5" s="536" t="s">
        <v>18</v>
      </c>
      <c r="Q5" s="537"/>
      <c r="R5" s="537"/>
      <c r="S5" s="537"/>
      <c r="T5" s="537"/>
      <c r="U5" s="537"/>
      <c r="V5" s="537"/>
      <c r="W5" s="538"/>
      <c r="X5" s="527" t="s">
        <v>19</v>
      </c>
      <c r="Y5" s="528"/>
      <c r="Z5" s="528"/>
      <c r="AA5" s="528"/>
      <c r="AB5" s="528"/>
      <c r="AC5" s="528"/>
      <c r="AD5" s="528"/>
      <c r="AE5" s="529"/>
      <c r="AF5" s="98" t="s">
        <v>56</v>
      </c>
      <c r="AG5" s="99" t="s">
        <v>58</v>
      </c>
      <c r="AH5" s="83"/>
      <c r="AI5" s="83"/>
      <c r="AJ5" s="83"/>
      <c r="AK5" s="83"/>
      <c r="AL5" s="83"/>
      <c r="AM5" s="83"/>
      <c r="AN5" s="83"/>
      <c r="AO5" s="83"/>
      <c r="AP5" s="83"/>
    </row>
    <row r="6" spans="1:73" s="100" customFormat="1" ht="26.25" customHeight="1">
      <c r="A6" s="525"/>
      <c r="B6" s="532"/>
      <c r="C6" s="533"/>
      <c r="D6" s="535"/>
      <c r="E6" s="533"/>
      <c r="F6" s="553"/>
      <c r="G6" s="553"/>
      <c r="H6" s="520" t="s">
        <v>22</v>
      </c>
      <c r="I6" s="520"/>
      <c r="J6" s="520"/>
      <c r="K6" s="520"/>
      <c r="L6" s="520"/>
      <c r="M6" s="521" t="s">
        <v>26</v>
      </c>
      <c r="N6" s="557" t="s">
        <v>23</v>
      </c>
      <c r="O6" s="558"/>
      <c r="P6" s="520" t="s">
        <v>22</v>
      </c>
      <c r="Q6" s="520"/>
      <c r="R6" s="520"/>
      <c r="S6" s="520"/>
      <c r="T6" s="520"/>
      <c r="U6" s="521" t="s">
        <v>26</v>
      </c>
      <c r="V6" s="557" t="s">
        <v>23</v>
      </c>
      <c r="W6" s="563"/>
      <c r="X6" s="530" t="s">
        <v>4</v>
      </c>
      <c r="Y6" s="520"/>
      <c r="Z6" s="520"/>
      <c r="AA6" s="520"/>
      <c r="AB6" s="520"/>
      <c r="AC6" s="521" t="str">
        <f>U6</f>
        <v>แผนสะสม</v>
      </c>
      <c r="AD6" s="544" t="s">
        <v>23</v>
      </c>
      <c r="AE6" s="545"/>
      <c r="AF6" s="540" t="s">
        <v>57</v>
      </c>
      <c r="AG6" s="542" t="s">
        <v>59</v>
      </c>
      <c r="AH6" s="83"/>
      <c r="AI6" s="83"/>
      <c r="AJ6" s="83"/>
      <c r="AK6" s="83"/>
      <c r="AL6" s="83"/>
      <c r="AM6" s="83"/>
      <c r="AN6" s="83"/>
      <c r="AO6" s="83"/>
      <c r="AP6" s="83"/>
    </row>
    <row r="7" spans="1:73" s="100" customFormat="1" ht="24" customHeight="1">
      <c r="A7" s="525"/>
      <c r="B7" s="532"/>
      <c r="C7" s="548" t="s">
        <v>36</v>
      </c>
      <c r="D7" s="548" t="s">
        <v>3</v>
      </c>
      <c r="E7" s="534" t="s">
        <v>260</v>
      </c>
      <c r="F7" s="561" t="s">
        <v>36</v>
      </c>
      <c r="G7" s="550" t="s">
        <v>3</v>
      </c>
      <c r="H7" s="516" t="s">
        <v>1</v>
      </c>
      <c r="I7" s="517"/>
      <c r="J7" s="517"/>
      <c r="K7" s="517"/>
      <c r="L7" s="518" t="s">
        <v>2</v>
      </c>
      <c r="M7" s="522"/>
      <c r="N7" s="559"/>
      <c r="O7" s="560"/>
      <c r="P7" s="516" t="s">
        <v>1</v>
      </c>
      <c r="Q7" s="517"/>
      <c r="R7" s="517"/>
      <c r="S7" s="517"/>
      <c r="T7" s="518" t="s">
        <v>2</v>
      </c>
      <c r="U7" s="522"/>
      <c r="V7" s="559"/>
      <c r="W7" s="564"/>
      <c r="X7" s="530" t="s">
        <v>1</v>
      </c>
      <c r="Y7" s="520"/>
      <c r="Z7" s="520"/>
      <c r="AA7" s="520"/>
      <c r="AB7" s="520" t="s">
        <v>2</v>
      </c>
      <c r="AC7" s="522"/>
      <c r="AD7" s="546"/>
      <c r="AE7" s="547"/>
      <c r="AF7" s="540"/>
      <c r="AG7" s="542"/>
      <c r="AH7" s="101"/>
      <c r="AI7" s="101"/>
      <c r="AJ7" s="101"/>
      <c r="AK7" s="83"/>
      <c r="AL7" s="83"/>
      <c r="AM7" s="83"/>
      <c r="AN7" s="83"/>
      <c r="AO7" s="83"/>
      <c r="AP7" s="83"/>
    </row>
    <row r="8" spans="1:73" s="100" customFormat="1" ht="23.25" customHeight="1">
      <c r="A8" s="526"/>
      <c r="B8" s="533"/>
      <c r="C8" s="549"/>
      <c r="D8" s="549"/>
      <c r="E8" s="535"/>
      <c r="F8" s="549"/>
      <c r="G8" s="551"/>
      <c r="H8" s="102">
        <v>1</v>
      </c>
      <c r="I8" s="102">
        <v>2</v>
      </c>
      <c r="J8" s="102">
        <v>3</v>
      </c>
      <c r="K8" s="103">
        <v>4</v>
      </c>
      <c r="L8" s="519"/>
      <c r="M8" s="523"/>
      <c r="N8" s="104" t="s">
        <v>14</v>
      </c>
      <c r="O8" s="105" t="s">
        <v>25</v>
      </c>
      <c r="P8" s="102">
        <v>1</v>
      </c>
      <c r="Q8" s="102">
        <v>2</v>
      </c>
      <c r="R8" s="102">
        <v>3</v>
      </c>
      <c r="S8" s="103">
        <v>4</v>
      </c>
      <c r="T8" s="519"/>
      <c r="U8" s="523"/>
      <c r="V8" s="104" t="s">
        <v>14</v>
      </c>
      <c r="W8" s="105" t="s">
        <v>25</v>
      </c>
      <c r="X8" s="106">
        <v>1</v>
      </c>
      <c r="Y8" s="102">
        <v>2</v>
      </c>
      <c r="Z8" s="102">
        <v>3</v>
      </c>
      <c r="AA8" s="102">
        <v>4</v>
      </c>
      <c r="AB8" s="520"/>
      <c r="AC8" s="523"/>
      <c r="AD8" s="107" t="s">
        <v>14</v>
      </c>
      <c r="AE8" s="108" t="s">
        <v>25</v>
      </c>
      <c r="AF8" s="541"/>
      <c r="AG8" s="543"/>
      <c r="AH8" s="109"/>
      <c r="AI8" s="101"/>
      <c r="AJ8" s="101"/>
      <c r="AK8" s="83"/>
      <c r="AL8" s="83"/>
      <c r="AM8" s="83"/>
      <c r="AN8" s="83"/>
      <c r="AO8" s="83"/>
      <c r="AP8" s="83"/>
    </row>
    <row r="9" spans="1:73" s="25" customFormat="1" ht="22.5" customHeight="1">
      <c r="A9" s="226" t="s">
        <v>6</v>
      </c>
      <c r="B9" s="306">
        <v>50</v>
      </c>
      <c r="C9" s="73">
        <v>30</v>
      </c>
      <c r="D9" s="73"/>
      <c r="E9" s="73">
        <v>35</v>
      </c>
      <c r="F9" s="73">
        <v>22</v>
      </c>
      <c r="G9" s="308"/>
      <c r="H9" s="4">
        <f>19+14+14</f>
        <v>47</v>
      </c>
      <c r="I9" s="4"/>
      <c r="J9" s="5"/>
      <c r="K9" s="5">
        <f>1+2+0</f>
        <v>3</v>
      </c>
      <c r="L9" s="5">
        <f>SUM(H9:K9)</f>
        <v>50</v>
      </c>
      <c r="M9" s="55">
        <f>H9</f>
        <v>47</v>
      </c>
      <c r="N9" s="488">
        <v>47</v>
      </c>
      <c r="O9" s="244">
        <f>N9*100/M9</f>
        <v>100</v>
      </c>
      <c r="P9" s="4">
        <f>11+14+11</f>
        <v>36</v>
      </c>
      <c r="Q9" s="4">
        <f>6+4+1</f>
        <v>11</v>
      </c>
      <c r="R9" s="5"/>
      <c r="S9" s="5">
        <f>1+2+0</f>
        <v>3</v>
      </c>
      <c r="T9" s="5">
        <f>SUM(P9:S9)</f>
        <v>50</v>
      </c>
      <c r="U9" s="55">
        <f>P9+6</f>
        <v>42</v>
      </c>
      <c r="V9" s="479">
        <v>43</v>
      </c>
      <c r="W9" s="244">
        <f>V9*100/U9</f>
        <v>102.38095238095238</v>
      </c>
      <c r="X9" s="6">
        <f>1+1+1</f>
        <v>3</v>
      </c>
      <c r="Y9" s="4">
        <f>3+4+3</f>
        <v>10</v>
      </c>
      <c r="Z9" s="4">
        <f>8+14+12</f>
        <v>34</v>
      </c>
      <c r="AA9" s="4">
        <f>2+1+0</f>
        <v>3</v>
      </c>
      <c r="AB9" s="4">
        <f>SUM(X9:AA9)</f>
        <v>50</v>
      </c>
      <c r="AC9" s="4">
        <f>X9+3</f>
        <v>6</v>
      </c>
      <c r="AD9" s="305">
        <v>6</v>
      </c>
      <c r="AE9" s="69">
        <f t="shared" ref="AE9:AE15" si="0">AD9*100/AC9</f>
        <v>100</v>
      </c>
      <c r="AF9" s="110"/>
      <c r="AG9" s="111"/>
      <c r="AH9" s="291"/>
      <c r="AI9" s="112"/>
      <c r="AJ9" s="112"/>
      <c r="AK9" s="87"/>
      <c r="AL9" s="87"/>
      <c r="AM9" s="87"/>
      <c r="AN9" s="87"/>
      <c r="AO9" s="87"/>
      <c r="AP9" s="87"/>
    </row>
    <row r="10" spans="1:73" s="25" customFormat="1" ht="22.5" customHeight="1">
      <c r="A10" s="227" t="s">
        <v>7</v>
      </c>
      <c r="B10" s="74">
        <v>9</v>
      </c>
      <c r="C10" s="76">
        <v>4</v>
      </c>
      <c r="D10" s="323"/>
      <c r="E10" s="76">
        <v>8</v>
      </c>
      <c r="F10" s="76">
        <v>7</v>
      </c>
      <c r="G10" s="309"/>
      <c r="H10" s="7">
        <f>0+0+8</f>
        <v>8</v>
      </c>
      <c r="I10" s="7"/>
      <c r="J10" s="8"/>
      <c r="K10" s="8">
        <f>0+1+0</f>
        <v>1</v>
      </c>
      <c r="L10" s="8">
        <f>SUM(H10:K10)</f>
        <v>9</v>
      </c>
      <c r="M10" s="9">
        <f>H10</f>
        <v>8</v>
      </c>
      <c r="N10" s="512">
        <v>8</v>
      </c>
      <c r="O10" s="245">
        <f t="shared" ref="O10:O16" si="1">N10*100/M10</f>
        <v>100</v>
      </c>
      <c r="P10" s="7">
        <f>0+0+1</f>
        <v>1</v>
      </c>
      <c r="Q10" s="7">
        <f>1+1+0</f>
        <v>2</v>
      </c>
      <c r="R10" s="8">
        <f>4+0+1</f>
        <v>5</v>
      </c>
      <c r="S10" s="8">
        <f>0+1+0</f>
        <v>1</v>
      </c>
      <c r="T10" s="8">
        <f>SUM(P10:S10)</f>
        <v>9</v>
      </c>
      <c r="U10" s="9">
        <f>P10+1</f>
        <v>2</v>
      </c>
      <c r="V10" s="251">
        <v>2</v>
      </c>
      <c r="W10" s="245">
        <f t="shared" ref="W10:W16" si="2">V10*100/U10</f>
        <v>100</v>
      </c>
      <c r="X10" s="10">
        <f>0+1+0</f>
        <v>1</v>
      </c>
      <c r="Y10" s="7">
        <f>0+0+1</f>
        <v>1</v>
      </c>
      <c r="Z10" s="7">
        <f>0+0+2</f>
        <v>2</v>
      </c>
      <c r="AA10" s="7">
        <f>0+4+1</f>
        <v>5</v>
      </c>
      <c r="AB10" s="7">
        <f>SUM(X10:AA10)</f>
        <v>9</v>
      </c>
      <c r="AC10" s="7">
        <f>X10</f>
        <v>1</v>
      </c>
      <c r="AD10" s="56">
        <v>1</v>
      </c>
      <c r="AE10" s="70">
        <f t="shared" si="0"/>
        <v>100</v>
      </c>
      <c r="AF10" s="113"/>
      <c r="AG10" s="75"/>
      <c r="AH10" s="291"/>
      <c r="AI10" s="112"/>
      <c r="AJ10" s="112"/>
      <c r="AK10" s="87"/>
      <c r="AL10" s="87"/>
      <c r="AM10" s="87"/>
      <c r="AN10" s="87"/>
      <c r="AO10" s="87"/>
      <c r="AP10" s="87"/>
    </row>
    <row r="11" spans="1:73" s="117" customFormat="1" ht="22.5" customHeight="1">
      <c r="A11" s="228" t="s">
        <v>8</v>
      </c>
      <c r="B11" s="77">
        <v>12</v>
      </c>
      <c r="C11" s="78">
        <v>4</v>
      </c>
      <c r="D11" s="78"/>
      <c r="E11" s="78">
        <v>5</v>
      </c>
      <c r="F11" s="78">
        <v>4</v>
      </c>
      <c r="G11" s="309"/>
      <c r="H11" s="11">
        <f>0+1+8</f>
        <v>9</v>
      </c>
      <c r="I11" s="11"/>
      <c r="J11" s="11"/>
      <c r="K11" s="11">
        <f>0+1+0</f>
        <v>1</v>
      </c>
      <c r="L11" s="8">
        <f>SUM(H11:K11)</f>
        <v>10</v>
      </c>
      <c r="M11" s="9">
        <f>H11</f>
        <v>9</v>
      </c>
      <c r="N11" s="251">
        <v>9</v>
      </c>
      <c r="O11" s="245">
        <f t="shared" si="1"/>
        <v>100</v>
      </c>
      <c r="P11" s="11">
        <f>0+1+2</f>
        <v>3</v>
      </c>
      <c r="Q11" s="11">
        <f>1+0+1</f>
        <v>2</v>
      </c>
      <c r="R11" s="11">
        <f>3+1+0</f>
        <v>4</v>
      </c>
      <c r="S11" s="11">
        <f>0+1+0</f>
        <v>1</v>
      </c>
      <c r="T11" s="8">
        <f t="shared" ref="T11:T15" si="3">SUM(P11:S11)</f>
        <v>10</v>
      </c>
      <c r="U11" s="9">
        <f>P11+1</f>
        <v>4</v>
      </c>
      <c r="V11" s="251">
        <v>4</v>
      </c>
      <c r="W11" s="245">
        <f t="shared" si="2"/>
        <v>100</v>
      </c>
      <c r="X11" s="12">
        <f>0+1+1</f>
        <v>2</v>
      </c>
      <c r="Y11" s="11">
        <f>0+2+1</f>
        <v>3</v>
      </c>
      <c r="Z11" s="11">
        <f>0+1+0</f>
        <v>1</v>
      </c>
      <c r="AA11" s="11">
        <f>1+2+2</f>
        <v>5</v>
      </c>
      <c r="AB11" s="7">
        <f t="shared" ref="AB11:AB15" si="4">SUM(X11:AA11)</f>
        <v>11</v>
      </c>
      <c r="AC11" s="7">
        <f t="shared" ref="AC11:AC15" si="5">X11</f>
        <v>2</v>
      </c>
      <c r="AD11" s="56">
        <v>2</v>
      </c>
      <c r="AE11" s="70">
        <f t="shared" si="0"/>
        <v>100</v>
      </c>
      <c r="AF11" s="114"/>
      <c r="AG11" s="75"/>
      <c r="AH11" s="115"/>
      <c r="AI11" s="112"/>
      <c r="AJ11" s="112"/>
      <c r="AK11" s="87"/>
      <c r="AL11" s="87"/>
      <c r="AM11" s="87"/>
      <c r="AN11" s="87"/>
      <c r="AO11" s="87"/>
      <c r="AP11" s="87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</row>
    <row r="12" spans="1:73" s="25" customFormat="1" ht="22.5" customHeight="1">
      <c r="A12" s="227" t="s">
        <v>9</v>
      </c>
      <c r="B12" s="74">
        <v>45</v>
      </c>
      <c r="C12" s="76">
        <v>20</v>
      </c>
      <c r="D12" s="76"/>
      <c r="E12" s="76">
        <v>22</v>
      </c>
      <c r="F12" s="76">
        <v>22</v>
      </c>
      <c r="G12" s="309"/>
      <c r="H12" s="7">
        <f>0+23+20</f>
        <v>43</v>
      </c>
      <c r="I12" s="7"/>
      <c r="J12" s="8">
        <f>1+0+1</f>
        <v>2</v>
      </c>
      <c r="K12" s="8"/>
      <c r="L12" s="8">
        <f t="shared" ref="L12:L15" si="6">SUM(H12:K12)</f>
        <v>45</v>
      </c>
      <c r="M12" s="9">
        <f t="shared" ref="M12:M15" si="7">H12</f>
        <v>43</v>
      </c>
      <c r="N12" s="251">
        <v>43</v>
      </c>
      <c r="O12" s="245">
        <f t="shared" si="1"/>
        <v>100</v>
      </c>
      <c r="P12" s="7">
        <f>0+4+9</f>
        <v>13</v>
      </c>
      <c r="Q12" s="7">
        <f>10+10+4</f>
        <v>24</v>
      </c>
      <c r="R12" s="8">
        <f>5+1+2</f>
        <v>8</v>
      </c>
      <c r="S12" s="8"/>
      <c r="T12" s="8">
        <f t="shared" si="3"/>
        <v>45</v>
      </c>
      <c r="U12" s="9">
        <f>P12+10</f>
        <v>23</v>
      </c>
      <c r="V12" s="251">
        <v>23</v>
      </c>
      <c r="W12" s="245">
        <f t="shared" si="2"/>
        <v>100</v>
      </c>
      <c r="X12" s="10">
        <f>0+0+2</f>
        <v>2</v>
      </c>
      <c r="Y12" s="7">
        <f>0+1+5</f>
        <v>6</v>
      </c>
      <c r="Z12" s="7">
        <f>0+9+14</f>
        <v>23</v>
      </c>
      <c r="AA12" s="7">
        <f>1+3+10</f>
        <v>14</v>
      </c>
      <c r="AB12" s="7">
        <f t="shared" si="4"/>
        <v>45</v>
      </c>
      <c r="AC12" s="7">
        <f t="shared" si="5"/>
        <v>2</v>
      </c>
      <c r="AD12" s="294">
        <v>1</v>
      </c>
      <c r="AE12" s="70">
        <f t="shared" si="0"/>
        <v>50</v>
      </c>
      <c r="AF12" s="113"/>
      <c r="AG12" s="75"/>
      <c r="AH12" s="50"/>
      <c r="AI12" s="95"/>
      <c r="AJ12" s="87"/>
      <c r="AK12" s="87"/>
      <c r="AL12" s="87"/>
      <c r="AM12" s="87"/>
      <c r="AN12" s="87"/>
      <c r="AO12" s="87"/>
      <c r="AP12" s="87"/>
    </row>
    <row r="13" spans="1:73" s="25" customFormat="1" ht="22.5" customHeight="1">
      <c r="A13" s="227" t="s">
        <v>10</v>
      </c>
      <c r="B13" s="74">
        <v>17</v>
      </c>
      <c r="C13" s="76">
        <v>6</v>
      </c>
      <c r="D13" s="76"/>
      <c r="E13" s="76">
        <v>10</v>
      </c>
      <c r="F13" s="76">
        <v>7</v>
      </c>
      <c r="G13" s="309"/>
      <c r="H13" s="7">
        <f>0+6+10</f>
        <v>16</v>
      </c>
      <c r="I13" s="7"/>
      <c r="J13" s="8"/>
      <c r="K13" s="8"/>
      <c r="L13" s="8">
        <f t="shared" si="6"/>
        <v>16</v>
      </c>
      <c r="M13" s="9">
        <f t="shared" si="7"/>
        <v>16</v>
      </c>
      <c r="N13" s="251">
        <v>16</v>
      </c>
      <c r="O13" s="245">
        <f t="shared" si="1"/>
        <v>100</v>
      </c>
      <c r="P13" s="7">
        <f>0+4+6</f>
        <v>10</v>
      </c>
      <c r="Q13" s="7">
        <f>5+1+0</f>
        <v>6</v>
      </c>
      <c r="R13" s="8"/>
      <c r="S13" s="8"/>
      <c r="T13" s="8">
        <f t="shared" si="3"/>
        <v>16</v>
      </c>
      <c r="U13" s="9">
        <f>P13+5</f>
        <v>15</v>
      </c>
      <c r="V13" s="251">
        <v>15</v>
      </c>
      <c r="W13" s="245">
        <f t="shared" si="2"/>
        <v>100</v>
      </c>
      <c r="X13" s="10">
        <f>1+1+0</f>
        <v>2</v>
      </c>
      <c r="Y13" s="7">
        <f>0+4+2</f>
        <v>6</v>
      </c>
      <c r="Z13" s="7">
        <f>2+2+5</f>
        <v>9</v>
      </c>
      <c r="AA13" s="7"/>
      <c r="AB13" s="7">
        <f t="shared" si="4"/>
        <v>17</v>
      </c>
      <c r="AC13" s="7">
        <f t="shared" si="5"/>
        <v>2</v>
      </c>
      <c r="AD13" s="483">
        <v>3</v>
      </c>
      <c r="AE13" s="70">
        <f t="shared" si="0"/>
        <v>150</v>
      </c>
      <c r="AF13" s="118"/>
      <c r="AG13" s="75"/>
      <c r="AH13" s="231"/>
      <c r="AI13" s="87"/>
      <c r="AJ13" s="87"/>
      <c r="AK13" s="87"/>
      <c r="AL13" s="87"/>
      <c r="AM13" s="87"/>
      <c r="AN13" s="87"/>
      <c r="AO13" s="87"/>
      <c r="AP13" s="87"/>
    </row>
    <row r="14" spans="1:73" s="116" customFormat="1" ht="22.5" customHeight="1">
      <c r="A14" s="228" t="s">
        <v>11</v>
      </c>
      <c r="B14" s="77">
        <v>77</v>
      </c>
      <c r="C14" s="78">
        <v>35</v>
      </c>
      <c r="D14" s="78"/>
      <c r="E14" s="78">
        <v>22</v>
      </c>
      <c r="F14" s="78">
        <v>22</v>
      </c>
      <c r="G14" s="309"/>
      <c r="H14" s="11">
        <f>1+18+58</f>
        <v>77</v>
      </c>
      <c r="I14" s="11"/>
      <c r="J14" s="11"/>
      <c r="K14" s="11"/>
      <c r="L14" s="8">
        <f t="shared" si="6"/>
        <v>77</v>
      </c>
      <c r="M14" s="9">
        <f t="shared" si="7"/>
        <v>77</v>
      </c>
      <c r="N14" s="431">
        <v>74</v>
      </c>
      <c r="O14" s="245">
        <f t="shared" si="1"/>
        <v>96.103896103896105</v>
      </c>
      <c r="P14" s="11">
        <f>1+9+10</f>
        <v>20</v>
      </c>
      <c r="Q14" s="11">
        <f>14+15+11</f>
        <v>40</v>
      </c>
      <c r="R14" s="11">
        <f>6+2+0</f>
        <v>8</v>
      </c>
      <c r="S14" s="11">
        <f>4+2+3</f>
        <v>9</v>
      </c>
      <c r="T14" s="8">
        <f t="shared" si="3"/>
        <v>77</v>
      </c>
      <c r="U14" s="9">
        <f>P14+14</f>
        <v>34</v>
      </c>
      <c r="V14" s="251">
        <v>34</v>
      </c>
      <c r="W14" s="245">
        <f t="shared" si="2"/>
        <v>100</v>
      </c>
      <c r="X14" s="12">
        <f>0+7+2</f>
        <v>9</v>
      </c>
      <c r="Y14" s="11">
        <f>1+5+5</f>
        <v>11</v>
      </c>
      <c r="Z14" s="11">
        <f>7+17+15</f>
        <v>39</v>
      </c>
      <c r="AA14" s="11">
        <f>0+6+12</f>
        <v>18</v>
      </c>
      <c r="AB14" s="7">
        <f t="shared" si="4"/>
        <v>77</v>
      </c>
      <c r="AC14" s="7">
        <f>X14+1</f>
        <v>10</v>
      </c>
      <c r="AD14" s="56">
        <v>10</v>
      </c>
      <c r="AE14" s="70">
        <f t="shared" si="0"/>
        <v>100</v>
      </c>
      <c r="AF14" s="118"/>
      <c r="AG14" s="75"/>
      <c r="AH14" s="231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</row>
    <row r="15" spans="1:73" s="116" customFormat="1" ht="22.5" customHeight="1">
      <c r="A15" s="229" t="s">
        <v>12</v>
      </c>
      <c r="B15" s="79">
        <v>29</v>
      </c>
      <c r="C15" s="80">
        <v>11</v>
      </c>
      <c r="D15" s="80"/>
      <c r="E15" s="76">
        <v>18</v>
      </c>
      <c r="F15" s="445">
        <v>18</v>
      </c>
      <c r="G15" s="310"/>
      <c r="H15" s="13">
        <f>2+7+19</f>
        <v>28</v>
      </c>
      <c r="I15" s="13"/>
      <c r="J15" s="13"/>
      <c r="K15" s="13">
        <f>0+1+0</f>
        <v>1</v>
      </c>
      <c r="L15" s="8">
        <f t="shared" si="6"/>
        <v>29</v>
      </c>
      <c r="M15" s="14">
        <f t="shared" si="7"/>
        <v>28</v>
      </c>
      <c r="N15" s="251">
        <v>28</v>
      </c>
      <c r="O15" s="245">
        <f t="shared" si="1"/>
        <v>100</v>
      </c>
      <c r="P15" s="13">
        <f>2+5+10</f>
        <v>17</v>
      </c>
      <c r="Q15" s="13">
        <f>6+3+1</f>
        <v>10</v>
      </c>
      <c r="R15" s="13">
        <f>1+0+0</f>
        <v>1</v>
      </c>
      <c r="S15" s="13">
        <f>0+1+0</f>
        <v>1</v>
      </c>
      <c r="T15" s="8">
        <f t="shared" si="3"/>
        <v>29</v>
      </c>
      <c r="U15" s="14">
        <f>P15+6</f>
        <v>23</v>
      </c>
      <c r="V15" s="251">
        <v>23</v>
      </c>
      <c r="W15" s="245">
        <f t="shared" si="2"/>
        <v>100</v>
      </c>
      <c r="X15" s="15">
        <f>0+0+1</f>
        <v>1</v>
      </c>
      <c r="Y15" s="13">
        <f>0+4+6</f>
        <v>10</v>
      </c>
      <c r="Z15" s="13">
        <f>1+8+7</f>
        <v>16</v>
      </c>
      <c r="AA15" s="13">
        <f>0+1+1</f>
        <v>2</v>
      </c>
      <c r="AB15" s="7">
        <f t="shared" si="4"/>
        <v>29</v>
      </c>
      <c r="AC15" s="16">
        <f t="shared" si="5"/>
        <v>1</v>
      </c>
      <c r="AD15" s="482">
        <v>1</v>
      </c>
      <c r="AE15" s="70">
        <f t="shared" si="0"/>
        <v>100</v>
      </c>
      <c r="AF15" s="119"/>
      <c r="AG15" s="120"/>
      <c r="AH15" s="231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</row>
    <row r="16" spans="1:73" s="87" customFormat="1" ht="24.95" customHeight="1">
      <c r="A16" s="90" t="s">
        <v>5</v>
      </c>
      <c r="B16" s="81">
        <f>SUM(B9:B15)</f>
        <v>239</v>
      </c>
      <c r="C16" s="82">
        <f>SUM(C9:C15)</f>
        <v>110</v>
      </c>
      <c r="D16" s="82">
        <f>SUM(D9:D15)</f>
        <v>0</v>
      </c>
      <c r="E16" s="82">
        <f t="shared" ref="E16:G16" si="8">SUM(E9:E15)</f>
        <v>120</v>
      </c>
      <c r="F16" s="82">
        <f>SUM(F9:F15)</f>
        <v>102</v>
      </c>
      <c r="G16" s="311">
        <f t="shared" si="8"/>
        <v>0</v>
      </c>
      <c r="H16" s="82">
        <f t="shared" ref="H16:K16" si="9">SUM(H9:H15)</f>
        <v>228</v>
      </c>
      <c r="I16" s="82">
        <f t="shared" si="9"/>
        <v>0</v>
      </c>
      <c r="J16" s="82">
        <f t="shared" si="9"/>
        <v>2</v>
      </c>
      <c r="K16" s="82">
        <f t="shared" si="9"/>
        <v>6</v>
      </c>
      <c r="L16" s="121">
        <f>SUM(L9:L15)</f>
        <v>236</v>
      </c>
      <c r="M16" s="122">
        <f>SUM(M9:M15)</f>
        <v>228</v>
      </c>
      <c r="N16" s="123">
        <f t="shared" ref="N16" si="10">SUM(N9:N15)</f>
        <v>225</v>
      </c>
      <c r="O16" s="246">
        <f t="shared" si="1"/>
        <v>98.684210526315795</v>
      </c>
      <c r="P16" s="82">
        <f t="shared" ref="P16:R16" si="11">SUM(P9:P15)</f>
        <v>100</v>
      </c>
      <c r="Q16" s="82">
        <f t="shared" si="11"/>
        <v>95</v>
      </c>
      <c r="R16" s="82">
        <f t="shared" si="11"/>
        <v>26</v>
      </c>
      <c r="S16" s="82">
        <f>SUM(S9:S15)</f>
        <v>15</v>
      </c>
      <c r="T16" s="121">
        <f>SUM(T9:T15)</f>
        <v>236</v>
      </c>
      <c r="U16" s="122">
        <f>SUM(U9:U15)</f>
        <v>143</v>
      </c>
      <c r="V16" s="123">
        <f>SUM(V9:V15)</f>
        <v>144</v>
      </c>
      <c r="W16" s="312">
        <f t="shared" si="2"/>
        <v>100.69930069930069</v>
      </c>
      <c r="X16" s="124">
        <f t="shared" ref="X16:AA16" si="12">SUM(X9:X15)</f>
        <v>20</v>
      </c>
      <c r="Y16" s="82">
        <f t="shared" si="12"/>
        <v>47</v>
      </c>
      <c r="Z16" s="82">
        <f t="shared" si="12"/>
        <v>124</v>
      </c>
      <c r="AA16" s="82">
        <f t="shared" si="12"/>
        <v>47</v>
      </c>
      <c r="AB16" s="121">
        <f>SUM(AB9:AB15)</f>
        <v>238</v>
      </c>
      <c r="AC16" s="125">
        <f>SUM(AC9:AC15)</f>
        <v>24</v>
      </c>
      <c r="AD16" s="252">
        <f>SUM(AD9:AD15)</f>
        <v>24</v>
      </c>
      <c r="AE16" s="416">
        <f>AD16*100/AC16</f>
        <v>100</v>
      </c>
      <c r="AF16" s="126"/>
      <c r="AG16" s="127">
        <f>SUM(AG9:AG15)</f>
        <v>0</v>
      </c>
      <c r="AH16" s="128"/>
      <c r="AI16" s="112"/>
      <c r="AJ16" s="112"/>
    </row>
    <row r="17" spans="1:36" s="87" customFormat="1" ht="11.25" customHeight="1">
      <c r="A17" s="129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30"/>
      <c r="Q17" s="130"/>
      <c r="R17" s="130"/>
      <c r="S17" s="130"/>
      <c r="T17" s="130"/>
      <c r="U17" s="130"/>
      <c r="V17" s="131"/>
      <c r="W17" s="132"/>
      <c r="X17" s="130"/>
      <c r="Y17" s="130"/>
      <c r="Z17" s="130"/>
      <c r="AA17" s="130"/>
      <c r="AB17" s="130"/>
      <c r="AC17" s="130"/>
      <c r="AD17" s="131"/>
      <c r="AE17" s="132"/>
      <c r="AF17" s="96"/>
      <c r="AG17" s="128"/>
      <c r="AH17" s="128"/>
      <c r="AI17" s="112"/>
      <c r="AJ17" s="112"/>
    </row>
    <row r="18" spans="1:36" s="87" customFormat="1" ht="18" customHeight="1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30"/>
      <c r="Q18" s="130"/>
      <c r="R18" s="130"/>
      <c r="S18" s="130"/>
      <c r="T18" s="130"/>
      <c r="U18" s="130"/>
      <c r="V18" s="131"/>
      <c r="W18" s="132"/>
      <c r="X18" s="130"/>
      <c r="Y18" s="130"/>
      <c r="Z18" s="130"/>
      <c r="AA18" s="130"/>
      <c r="AB18" s="130"/>
      <c r="AC18" s="130"/>
      <c r="AD18" s="131"/>
      <c r="AE18" s="132"/>
      <c r="AF18" s="96"/>
      <c r="AG18" s="128"/>
      <c r="AH18" s="128"/>
      <c r="AI18" s="112"/>
      <c r="AJ18" s="112"/>
    </row>
    <row r="19" spans="1:36" ht="17.25" customHeight="1">
      <c r="A19" s="72"/>
      <c r="B19" s="133"/>
      <c r="C19" s="313"/>
      <c r="D19" s="313"/>
      <c r="E19" s="72"/>
      <c r="F19" s="443"/>
      <c r="G19" s="72"/>
      <c r="H19" s="34"/>
      <c r="I19" s="34"/>
      <c r="J19" s="34"/>
      <c r="K19" s="34"/>
      <c r="L19" s="34"/>
      <c r="M19" s="34"/>
      <c r="N19" s="34"/>
      <c r="O19" s="34"/>
      <c r="P19" s="136"/>
      <c r="Q19" s="136"/>
      <c r="R19" s="136"/>
      <c r="S19" s="32"/>
      <c r="T19" s="50"/>
      <c r="U19" s="50"/>
      <c r="V19" s="32"/>
      <c r="Z19" s="135"/>
    </row>
    <row r="20" spans="1:36" ht="17.25" customHeight="1">
      <c r="A20" s="480"/>
      <c r="B20" s="133"/>
      <c r="C20" s="480"/>
      <c r="D20" s="480"/>
      <c r="E20" s="480"/>
      <c r="F20" s="480"/>
      <c r="G20" s="480"/>
      <c r="H20" s="34"/>
      <c r="I20" s="34"/>
      <c r="J20" s="34"/>
      <c r="K20" s="34"/>
      <c r="L20" s="34"/>
      <c r="M20" s="34"/>
      <c r="N20" s="34"/>
      <c r="O20" s="34"/>
      <c r="P20" s="136"/>
      <c r="Q20" s="136"/>
      <c r="R20" s="136"/>
      <c r="S20" s="32"/>
      <c r="T20" s="50"/>
      <c r="U20" s="50"/>
      <c r="V20" s="32"/>
      <c r="X20" s="23" t="s">
        <v>266</v>
      </c>
      <c r="Z20" s="135"/>
    </row>
    <row r="21" spans="1:36" ht="17.25" customHeight="1">
      <c r="A21" s="480"/>
      <c r="B21" s="133"/>
      <c r="C21" s="480"/>
      <c r="D21" s="480"/>
      <c r="E21" s="480"/>
      <c r="F21" s="480"/>
      <c r="G21" s="480"/>
      <c r="H21" s="34"/>
      <c r="I21" s="34"/>
      <c r="J21" s="34"/>
      <c r="K21" s="34"/>
      <c r="L21" s="34"/>
      <c r="M21" s="34"/>
      <c r="N21" s="34"/>
      <c r="O21" s="34"/>
      <c r="P21" s="136"/>
      <c r="Q21" s="136"/>
      <c r="R21" s="136"/>
      <c r="S21" s="32"/>
      <c r="T21" s="50"/>
      <c r="U21" s="50"/>
      <c r="V21" s="32"/>
      <c r="X21" s="562" t="s">
        <v>267</v>
      </c>
      <c r="Y21" s="562"/>
      <c r="Z21" s="429" t="s">
        <v>268</v>
      </c>
    </row>
    <row r="22" spans="1:36" ht="17.25" customHeight="1">
      <c r="A22" s="480"/>
      <c r="B22" s="133"/>
      <c r="C22" s="480"/>
      <c r="D22" s="480"/>
      <c r="E22" s="480"/>
      <c r="F22" s="480"/>
      <c r="G22" s="480"/>
      <c r="H22" s="34"/>
      <c r="I22" s="34"/>
      <c r="J22" s="34"/>
      <c r="K22" s="34"/>
      <c r="L22" s="34"/>
      <c r="M22" s="34"/>
      <c r="N22" s="34"/>
      <c r="O22" s="34"/>
      <c r="P22" s="136"/>
      <c r="Q22" s="136"/>
      <c r="R22" s="136"/>
      <c r="S22" s="32"/>
      <c r="T22" s="50"/>
      <c r="U22" s="50"/>
      <c r="V22" s="32"/>
      <c r="Z22" s="295" t="s">
        <v>273</v>
      </c>
    </row>
    <row r="23" spans="1:36" ht="17.25" customHeight="1">
      <c r="A23" s="480"/>
      <c r="B23" s="133"/>
      <c r="C23" s="480"/>
      <c r="D23" s="480"/>
      <c r="E23" s="480"/>
      <c r="F23" s="480"/>
      <c r="G23" s="503"/>
      <c r="H23" s="34"/>
      <c r="I23" s="34"/>
      <c r="J23" s="34"/>
      <c r="K23" s="34"/>
      <c r="L23" s="34"/>
      <c r="M23" s="34"/>
      <c r="N23" s="34"/>
      <c r="O23" s="34"/>
      <c r="P23" s="136"/>
      <c r="Q23" s="136"/>
      <c r="R23" s="136"/>
      <c r="S23" s="32"/>
      <c r="T23" s="50"/>
      <c r="U23" s="50"/>
      <c r="V23" s="32"/>
      <c r="Z23" s="135"/>
    </row>
    <row r="24" spans="1:36" ht="17.25" customHeight="1">
      <c r="A24" s="480"/>
      <c r="B24" s="133"/>
      <c r="C24" s="480"/>
      <c r="D24" s="480"/>
      <c r="E24" s="480"/>
      <c r="F24" s="480"/>
      <c r="G24" s="480"/>
      <c r="H24" s="34"/>
      <c r="I24" s="34"/>
      <c r="J24" s="34"/>
      <c r="K24" s="34"/>
      <c r="L24" s="34"/>
      <c r="M24" s="34"/>
      <c r="N24" s="34"/>
      <c r="O24" s="34"/>
      <c r="P24" s="136"/>
      <c r="Q24" s="136"/>
      <c r="R24" s="136"/>
      <c r="S24" s="32"/>
      <c r="T24" s="50"/>
      <c r="U24" s="50"/>
      <c r="V24" s="32"/>
      <c r="X24" s="562" t="s">
        <v>10</v>
      </c>
      <c r="Y24" s="562"/>
      <c r="Z24" s="489" t="s">
        <v>280</v>
      </c>
    </row>
    <row r="25" spans="1:36" ht="17.25" customHeight="1">
      <c r="A25" s="480"/>
      <c r="B25" s="133"/>
      <c r="C25" s="480"/>
      <c r="D25" s="480"/>
      <c r="E25" s="480"/>
      <c r="F25" s="480"/>
      <c r="G25" s="480"/>
      <c r="H25" s="34"/>
      <c r="I25" s="34"/>
      <c r="J25" s="34"/>
      <c r="K25" s="34"/>
      <c r="L25" s="34"/>
      <c r="M25" s="34"/>
      <c r="N25" s="34"/>
      <c r="O25" s="34"/>
      <c r="P25" s="136"/>
      <c r="Q25" s="136"/>
      <c r="R25" s="136"/>
      <c r="S25" s="32"/>
      <c r="T25" s="50"/>
      <c r="U25" s="50"/>
      <c r="V25" s="32"/>
      <c r="Z25" s="152" t="s">
        <v>279</v>
      </c>
    </row>
    <row r="26" spans="1:36" ht="17.25" customHeight="1">
      <c r="A26" s="480"/>
      <c r="B26" s="133"/>
      <c r="C26" s="480"/>
      <c r="D26" s="480"/>
      <c r="E26" s="480"/>
      <c r="F26" s="480"/>
      <c r="G26" s="480"/>
      <c r="H26" s="34"/>
      <c r="I26" s="34"/>
      <c r="J26" s="34"/>
      <c r="K26" s="34"/>
      <c r="L26" s="34"/>
      <c r="M26" s="34"/>
      <c r="N26" s="34"/>
      <c r="O26" s="34"/>
      <c r="P26" s="136"/>
      <c r="Q26" s="136"/>
      <c r="R26" s="136"/>
      <c r="S26" s="32"/>
      <c r="T26" s="50"/>
      <c r="U26" s="50"/>
      <c r="V26" s="32"/>
      <c r="Z26" s="135"/>
    </row>
    <row r="27" spans="1:36" ht="17.25" customHeight="1">
      <c r="A27" s="486"/>
      <c r="B27" s="133"/>
      <c r="C27" s="486"/>
      <c r="D27" s="486"/>
      <c r="E27" s="486"/>
      <c r="F27" s="486"/>
      <c r="G27" s="486"/>
      <c r="H27" s="34"/>
      <c r="I27" s="34"/>
      <c r="J27" s="34"/>
      <c r="K27" s="34"/>
      <c r="L27" s="34"/>
      <c r="M27" s="34"/>
      <c r="N27" s="34"/>
      <c r="O27" s="34"/>
      <c r="P27" s="136"/>
      <c r="Q27" s="136"/>
      <c r="R27" s="136"/>
      <c r="S27" s="32"/>
      <c r="T27" s="50"/>
      <c r="U27" s="50"/>
      <c r="V27" s="32"/>
      <c r="Z27" s="135"/>
    </row>
    <row r="28" spans="1:36" ht="17.25" customHeight="1">
      <c r="A28" s="486"/>
      <c r="B28" s="133"/>
      <c r="C28" s="486"/>
      <c r="D28" s="486"/>
      <c r="E28" s="486"/>
      <c r="F28" s="486"/>
      <c r="G28" s="486"/>
      <c r="H28" s="34"/>
      <c r="I28" s="34"/>
      <c r="J28" s="34"/>
      <c r="K28" s="34"/>
      <c r="L28" s="34"/>
      <c r="M28" s="34"/>
      <c r="N28" s="34"/>
      <c r="O28" s="34"/>
      <c r="P28" s="136"/>
      <c r="Q28" s="136"/>
      <c r="R28" s="136"/>
      <c r="S28" s="32"/>
      <c r="T28" s="50"/>
      <c r="U28" s="50"/>
      <c r="V28" s="32"/>
      <c r="Z28" s="135"/>
    </row>
    <row r="29" spans="1:36" ht="17.25" customHeight="1">
      <c r="A29" s="486"/>
      <c r="B29" s="133"/>
      <c r="C29" s="486"/>
      <c r="D29" s="486"/>
      <c r="E29" s="486"/>
      <c r="F29" s="486"/>
      <c r="G29" s="486"/>
      <c r="H29" s="34"/>
      <c r="I29" s="34"/>
      <c r="J29" s="34"/>
      <c r="K29" s="34"/>
      <c r="L29" s="34"/>
      <c r="M29" s="34"/>
      <c r="N29" s="34"/>
      <c r="O29" s="34"/>
      <c r="P29" s="136"/>
      <c r="Q29" s="136"/>
      <c r="R29" s="136"/>
      <c r="S29" s="32"/>
      <c r="T29" s="50"/>
      <c r="U29" s="50"/>
      <c r="V29" s="32"/>
      <c r="Z29" s="135"/>
    </row>
    <row r="30" spans="1:36" ht="17.25" customHeight="1">
      <c r="A30" s="486"/>
      <c r="B30" s="133"/>
      <c r="C30" s="486"/>
      <c r="D30" s="486"/>
      <c r="E30" s="486"/>
      <c r="F30" s="486"/>
      <c r="G30" s="486"/>
      <c r="H30" s="34"/>
      <c r="I30" s="34"/>
      <c r="J30" s="34"/>
      <c r="K30" s="34"/>
      <c r="L30" s="34"/>
      <c r="M30" s="34"/>
      <c r="N30" s="34"/>
      <c r="O30" s="34"/>
      <c r="P30" s="136"/>
      <c r="Q30" s="136"/>
      <c r="R30" s="136"/>
      <c r="S30" s="32"/>
      <c r="T30" s="50"/>
      <c r="U30" s="50"/>
      <c r="V30" s="32"/>
      <c r="Z30" s="135"/>
    </row>
    <row r="31" spans="1:36" ht="17.25" customHeight="1">
      <c r="A31" s="486"/>
      <c r="B31" s="133"/>
      <c r="C31" s="486"/>
      <c r="D31" s="486"/>
      <c r="E31" s="486"/>
      <c r="F31" s="486"/>
      <c r="G31" s="486"/>
      <c r="H31" s="34"/>
      <c r="I31" s="34"/>
      <c r="J31" s="34"/>
      <c r="K31" s="34"/>
      <c r="L31" s="34"/>
      <c r="M31" s="34"/>
      <c r="N31" s="34"/>
      <c r="O31" s="34"/>
      <c r="P31" s="136"/>
      <c r="Q31" s="136"/>
      <c r="R31" s="136"/>
      <c r="S31" s="32"/>
      <c r="T31" s="50"/>
      <c r="U31" s="50"/>
      <c r="V31" s="32"/>
      <c r="Z31" s="135"/>
    </row>
    <row r="32" spans="1:36" ht="17.25" customHeight="1">
      <c r="A32" s="486"/>
      <c r="B32" s="133"/>
      <c r="C32" s="486"/>
      <c r="D32" s="486"/>
      <c r="E32" s="486"/>
      <c r="F32" s="486"/>
      <c r="G32" s="486"/>
      <c r="H32" s="34"/>
      <c r="I32" s="34"/>
      <c r="J32" s="34"/>
      <c r="K32" s="34"/>
      <c r="L32" s="34"/>
      <c r="M32" s="34"/>
      <c r="N32" s="34"/>
      <c r="O32" s="34"/>
      <c r="P32" s="136"/>
      <c r="Q32" s="136"/>
      <c r="R32" s="136"/>
      <c r="S32" s="32"/>
      <c r="T32" s="50"/>
      <c r="U32" s="50"/>
      <c r="V32" s="32"/>
      <c r="Z32" s="135"/>
    </row>
    <row r="33" spans="1:42" ht="17.25" customHeight="1">
      <c r="A33" s="486"/>
      <c r="B33" s="133"/>
      <c r="C33" s="486"/>
      <c r="D33" s="486"/>
      <c r="E33" s="486"/>
      <c r="F33" s="486"/>
      <c r="G33" s="486"/>
      <c r="H33" s="34"/>
      <c r="I33" s="34"/>
      <c r="J33" s="34"/>
      <c r="K33" s="34"/>
      <c r="L33" s="34"/>
      <c r="M33" s="34"/>
      <c r="N33" s="34"/>
      <c r="O33" s="34"/>
      <c r="P33" s="136"/>
      <c r="Q33" s="136"/>
      <c r="R33" s="136"/>
      <c r="S33" s="32"/>
      <c r="T33" s="50"/>
      <c r="U33" s="50"/>
      <c r="V33" s="32"/>
      <c r="Z33" s="135"/>
    </row>
    <row r="34" spans="1:42" ht="17.25" customHeight="1">
      <c r="A34" s="486"/>
      <c r="B34" s="133"/>
      <c r="C34" s="486"/>
      <c r="D34" s="486"/>
      <c r="E34" s="486"/>
      <c r="F34" s="486"/>
      <c r="G34" s="486"/>
      <c r="H34" s="34"/>
      <c r="I34" s="34"/>
      <c r="J34" s="34"/>
      <c r="K34" s="34"/>
      <c r="L34" s="34"/>
      <c r="M34" s="34"/>
      <c r="N34" s="34"/>
      <c r="O34" s="34"/>
      <c r="P34" s="136"/>
      <c r="Q34" s="136"/>
      <c r="R34" s="136"/>
      <c r="S34" s="32"/>
      <c r="T34" s="50"/>
      <c r="U34" s="50"/>
      <c r="V34" s="32"/>
      <c r="Z34" s="135"/>
    </row>
    <row r="35" spans="1:42" ht="17.25" customHeight="1">
      <c r="A35" s="486"/>
      <c r="B35" s="133"/>
      <c r="C35" s="486"/>
      <c r="D35" s="486"/>
      <c r="E35" s="486"/>
      <c r="F35" s="486"/>
      <c r="G35" s="486"/>
      <c r="H35" s="34"/>
      <c r="I35" s="34"/>
      <c r="J35" s="34"/>
      <c r="K35" s="34"/>
      <c r="L35" s="34"/>
      <c r="M35" s="34"/>
      <c r="N35" s="34"/>
      <c r="O35" s="34"/>
      <c r="P35" s="136"/>
      <c r="Q35" s="136"/>
      <c r="R35" s="136"/>
      <c r="S35" s="32"/>
      <c r="T35" s="50"/>
      <c r="U35" s="50"/>
      <c r="V35" s="32"/>
      <c r="Z35" s="135"/>
    </row>
    <row r="36" spans="1:42" ht="17.25" customHeight="1">
      <c r="A36" s="486"/>
      <c r="B36" s="133"/>
      <c r="C36" s="486"/>
      <c r="D36" s="486"/>
      <c r="E36" s="486"/>
      <c r="F36" s="486"/>
      <c r="G36" s="486"/>
      <c r="H36" s="34"/>
      <c r="I36" s="34"/>
      <c r="J36" s="34"/>
      <c r="K36" s="34"/>
      <c r="L36" s="34"/>
      <c r="M36" s="34"/>
      <c r="N36" s="34"/>
      <c r="O36" s="34"/>
      <c r="P36" s="136"/>
      <c r="Q36" s="136"/>
      <c r="R36" s="136"/>
      <c r="S36" s="32"/>
      <c r="T36" s="50"/>
      <c r="U36" s="50"/>
      <c r="V36" s="32"/>
      <c r="Z36" s="135"/>
    </row>
    <row r="37" spans="1:42" ht="17.25" customHeight="1">
      <c r="A37" s="486"/>
      <c r="B37" s="133"/>
      <c r="C37" s="486"/>
      <c r="D37" s="486"/>
      <c r="E37" s="486"/>
      <c r="F37" s="486"/>
      <c r="G37" s="486"/>
      <c r="H37" s="34"/>
      <c r="I37" s="34"/>
      <c r="J37" s="34"/>
      <c r="K37" s="34"/>
      <c r="L37" s="34"/>
      <c r="M37" s="34"/>
      <c r="N37" s="34"/>
      <c r="O37" s="34"/>
      <c r="P37" s="136"/>
      <c r="Q37" s="136"/>
      <c r="R37" s="136"/>
      <c r="S37" s="32"/>
      <c r="T37" s="50"/>
      <c r="U37" s="50"/>
      <c r="V37" s="32"/>
      <c r="Z37" s="135"/>
    </row>
    <row r="38" spans="1:42" ht="17.25" customHeight="1">
      <c r="A38" s="486"/>
      <c r="B38" s="133"/>
      <c r="C38" s="486"/>
      <c r="D38" s="486"/>
      <c r="E38" s="486"/>
      <c r="F38" s="486"/>
      <c r="G38" s="486"/>
      <c r="H38" s="34"/>
      <c r="I38" s="34"/>
      <c r="J38" s="34"/>
      <c r="K38" s="34"/>
      <c r="L38" s="34"/>
      <c r="M38" s="34"/>
      <c r="N38" s="34"/>
      <c r="O38" s="34"/>
      <c r="P38" s="136"/>
      <c r="Q38" s="136"/>
      <c r="R38" s="136"/>
      <c r="S38" s="32"/>
      <c r="T38" s="50"/>
      <c r="U38" s="50"/>
      <c r="V38" s="32"/>
      <c r="Z38" s="135"/>
    </row>
    <row r="39" spans="1:42" ht="17.25" customHeight="1">
      <c r="A39" s="486"/>
      <c r="B39" s="133"/>
      <c r="C39" s="486"/>
      <c r="D39" s="486"/>
      <c r="E39" s="486"/>
      <c r="F39" s="486"/>
      <c r="G39" s="486"/>
      <c r="H39" s="34"/>
      <c r="I39" s="34"/>
      <c r="J39" s="34"/>
      <c r="K39" s="34"/>
      <c r="L39" s="34"/>
      <c r="M39" s="34"/>
      <c r="N39" s="34"/>
      <c r="O39" s="34"/>
      <c r="P39" s="136"/>
      <c r="Q39" s="136"/>
      <c r="R39" s="136"/>
      <c r="S39" s="32"/>
      <c r="T39" s="50"/>
      <c r="U39" s="50"/>
      <c r="V39" s="32"/>
      <c r="Z39" s="135"/>
    </row>
    <row r="40" spans="1:42" ht="17.25" customHeight="1">
      <c r="A40" s="480"/>
      <c r="B40" s="133"/>
      <c r="C40" s="480"/>
      <c r="D40" s="480"/>
      <c r="E40" s="480"/>
      <c r="F40" s="480"/>
      <c r="G40" s="480"/>
      <c r="H40" s="34"/>
      <c r="I40" s="34"/>
      <c r="J40" s="34"/>
      <c r="K40" s="34"/>
      <c r="L40" s="34"/>
      <c r="M40" s="34"/>
      <c r="N40" s="34"/>
      <c r="O40" s="34"/>
      <c r="P40" s="136"/>
      <c r="Q40" s="136"/>
      <c r="R40" s="136"/>
      <c r="S40" s="32"/>
      <c r="T40" s="50"/>
      <c r="U40" s="50"/>
      <c r="V40" s="32"/>
      <c r="Z40" s="135"/>
    </row>
    <row r="41" spans="1:42" ht="17.25" customHeight="1">
      <c r="A41" s="480"/>
      <c r="B41" s="133"/>
      <c r="C41" s="480"/>
      <c r="D41" s="480"/>
      <c r="E41" s="480"/>
      <c r="F41" s="480"/>
      <c r="G41" s="480"/>
      <c r="H41" s="34"/>
      <c r="I41" s="34"/>
      <c r="J41" s="34"/>
      <c r="K41" s="34"/>
      <c r="L41" s="34"/>
      <c r="M41" s="34"/>
      <c r="N41" s="34"/>
      <c r="O41" s="34"/>
      <c r="P41" s="136"/>
      <c r="Q41" s="136"/>
      <c r="R41" s="136"/>
      <c r="S41" s="32"/>
      <c r="T41" s="50"/>
      <c r="U41" s="50"/>
      <c r="V41" s="32"/>
      <c r="Z41" s="135"/>
    </row>
    <row r="42" spans="1:42" ht="17.25" customHeight="1">
      <c r="A42" s="480"/>
      <c r="B42" s="133"/>
      <c r="C42" s="480"/>
      <c r="D42" s="480"/>
      <c r="E42" s="480"/>
      <c r="F42" s="480"/>
      <c r="G42" s="480"/>
      <c r="H42" s="34"/>
      <c r="I42" s="34"/>
      <c r="J42" s="34"/>
      <c r="K42" s="34"/>
      <c r="L42" s="34"/>
      <c r="M42" s="34"/>
      <c r="N42" s="34"/>
      <c r="O42" s="34"/>
      <c r="P42" s="136"/>
      <c r="Q42" s="136"/>
      <c r="R42" s="136"/>
      <c r="S42" s="32"/>
      <c r="T42" s="50"/>
      <c r="U42" s="50"/>
      <c r="V42" s="32"/>
      <c r="Z42" s="135"/>
    </row>
    <row r="43" spans="1:42" ht="17.25" customHeight="1">
      <c r="A43" s="480"/>
      <c r="B43" s="133"/>
      <c r="C43" s="480"/>
      <c r="D43" s="480"/>
      <c r="E43" s="480"/>
      <c r="F43" s="480"/>
      <c r="G43" s="480"/>
      <c r="H43" s="34"/>
      <c r="I43" s="34"/>
      <c r="J43" s="34"/>
      <c r="K43" s="34"/>
      <c r="L43" s="34"/>
      <c r="M43" s="34"/>
      <c r="N43" s="34"/>
      <c r="O43" s="34"/>
      <c r="P43" s="136"/>
      <c r="Q43" s="136"/>
      <c r="R43" s="136"/>
      <c r="S43" s="32"/>
      <c r="T43" s="50"/>
      <c r="U43" s="50"/>
      <c r="V43" s="32"/>
      <c r="Z43" s="135"/>
    </row>
    <row r="44" spans="1:42" ht="17.25" customHeight="1">
      <c r="A44" s="480"/>
      <c r="B44" s="133"/>
      <c r="C44" s="480"/>
      <c r="D44" s="480"/>
      <c r="E44" s="480"/>
      <c r="F44" s="480"/>
      <c r="G44" s="480"/>
      <c r="H44" s="34"/>
      <c r="I44" s="34"/>
      <c r="J44" s="34"/>
      <c r="K44" s="34"/>
      <c r="L44" s="34"/>
      <c r="M44" s="34"/>
      <c r="N44" s="34"/>
      <c r="O44" s="34"/>
      <c r="P44" s="136"/>
      <c r="Q44" s="136"/>
      <c r="R44" s="136"/>
      <c r="S44" s="32"/>
      <c r="T44" s="50"/>
      <c r="U44" s="50"/>
      <c r="V44" s="32"/>
      <c r="Z44" s="135"/>
    </row>
    <row r="45" spans="1:42" ht="17.25" customHeight="1">
      <c r="A45" s="480"/>
      <c r="B45" s="133"/>
      <c r="C45" s="480"/>
      <c r="D45" s="480"/>
      <c r="E45" s="480"/>
      <c r="F45" s="480"/>
      <c r="G45" s="480"/>
      <c r="H45" s="34"/>
      <c r="I45" s="34"/>
      <c r="J45" s="34"/>
      <c r="K45" s="34"/>
      <c r="L45" s="34"/>
      <c r="M45" s="34"/>
      <c r="N45" s="34"/>
      <c r="O45" s="34"/>
      <c r="P45" s="136"/>
      <c r="Q45" s="136"/>
      <c r="R45" s="136"/>
      <c r="S45" s="32"/>
      <c r="T45" s="50"/>
      <c r="U45" s="50"/>
      <c r="V45" s="32"/>
      <c r="Z45" s="135"/>
    </row>
    <row r="46" spans="1:42" ht="17.25" customHeight="1">
      <c r="A46" s="480"/>
      <c r="B46" s="133"/>
      <c r="C46" s="480"/>
      <c r="D46" s="480"/>
      <c r="E46" s="480"/>
      <c r="F46" s="480"/>
      <c r="G46" s="480"/>
      <c r="H46" s="34"/>
      <c r="I46" s="34"/>
      <c r="J46" s="34"/>
      <c r="K46" s="34"/>
      <c r="L46" s="34"/>
      <c r="M46" s="34"/>
      <c r="N46" s="34"/>
      <c r="O46" s="34"/>
      <c r="P46" s="136"/>
      <c r="Q46" s="136"/>
      <c r="R46" s="136"/>
      <c r="S46" s="32"/>
      <c r="T46" s="50"/>
      <c r="U46" s="50"/>
      <c r="V46" s="32"/>
      <c r="Z46" s="135"/>
    </row>
    <row r="47" spans="1:42" ht="19.5" customHeight="1">
      <c r="A47" s="72"/>
      <c r="B47" s="137" t="s">
        <v>61</v>
      </c>
      <c r="C47" s="133" t="s">
        <v>112</v>
      </c>
      <c r="D47" s="313"/>
      <c r="E47" s="278"/>
      <c r="F47" s="278"/>
      <c r="G47" s="72"/>
      <c r="H47" s="272"/>
      <c r="J47" s="136"/>
      <c r="K47" s="136"/>
      <c r="L47" s="136"/>
      <c r="M47" s="136"/>
      <c r="N47" s="136"/>
      <c r="O47" s="272"/>
      <c r="P47" s="136"/>
      <c r="R47" s="136"/>
      <c r="S47" s="32"/>
      <c r="T47" s="230"/>
      <c r="U47" s="136"/>
      <c r="V47" s="136"/>
      <c r="X47" s="272"/>
      <c r="Z47" s="135"/>
      <c r="AL47" s="24"/>
      <c r="AM47" s="24"/>
      <c r="AN47" s="24"/>
      <c r="AO47" s="24"/>
      <c r="AP47" s="24"/>
    </row>
    <row r="48" spans="1:42" s="267" customFormat="1" ht="16.5" customHeight="1">
      <c r="A48" s="271"/>
      <c r="B48" s="273"/>
      <c r="C48" s="271"/>
      <c r="D48" s="271"/>
      <c r="E48" s="290"/>
      <c r="F48" s="290" t="s">
        <v>258</v>
      </c>
      <c r="G48" s="290"/>
      <c r="H48" s="289"/>
      <c r="I48" s="289"/>
      <c r="J48" s="248"/>
      <c r="K48" s="136"/>
      <c r="L48" s="136"/>
      <c r="M48" s="136"/>
      <c r="O48" s="136"/>
      <c r="P48" s="279"/>
      <c r="Q48" s="248"/>
      <c r="S48" s="275"/>
      <c r="T48" s="274"/>
      <c r="U48" s="274"/>
      <c r="W48" s="24"/>
      <c r="X48" s="287"/>
      <c r="Y48" s="24"/>
      <c r="Z48" s="135"/>
      <c r="AA48" s="24"/>
      <c r="AB48" s="24"/>
      <c r="AC48" s="24"/>
      <c r="AE48" s="24"/>
      <c r="AF48" s="95"/>
      <c r="AG48" s="95"/>
      <c r="AH48" s="276"/>
      <c r="AI48" s="276"/>
      <c r="AJ48" s="276"/>
      <c r="AK48" s="276"/>
    </row>
    <row r="49" spans="1:42" ht="16.5" customHeight="1">
      <c r="A49" s="72"/>
      <c r="B49" s="133"/>
      <c r="C49" s="313"/>
      <c r="D49" s="313"/>
      <c r="E49" s="290"/>
      <c r="F49" s="290" t="s">
        <v>259</v>
      </c>
      <c r="G49" s="290"/>
      <c r="H49" s="279"/>
      <c r="J49" s="136"/>
      <c r="K49" s="136"/>
      <c r="L49" s="136"/>
      <c r="M49" s="136"/>
      <c r="N49" s="136"/>
      <c r="O49" s="136"/>
      <c r="P49" s="136"/>
      <c r="S49" s="32"/>
      <c r="T49" s="136"/>
      <c r="U49" s="231"/>
      <c r="V49" s="136"/>
      <c r="Z49" s="135"/>
      <c r="AF49" s="95"/>
      <c r="AL49" s="24"/>
      <c r="AM49" s="24"/>
      <c r="AN49" s="24"/>
      <c r="AO49" s="24"/>
      <c r="AP49" s="24"/>
    </row>
    <row r="50" spans="1:42" ht="16.5" customHeight="1">
      <c r="A50" s="298"/>
      <c r="B50" s="133"/>
      <c r="C50" s="133" t="s">
        <v>113</v>
      </c>
      <c r="D50" s="313"/>
      <c r="E50" s="299"/>
      <c r="F50" s="444"/>
      <c r="G50" s="288"/>
    </row>
    <row r="51" spans="1:42" ht="16.5" customHeight="1">
      <c r="A51" s="293"/>
      <c r="B51" s="133"/>
      <c r="C51" s="313"/>
      <c r="D51" s="313"/>
      <c r="E51" s="295"/>
      <c r="F51" s="295" t="s">
        <v>263</v>
      </c>
      <c r="G51" s="288"/>
    </row>
    <row r="52" spans="1:42" ht="16.5" customHeight="1">
      <c r="A52" s="293"/>
      <c r="B52" s="133"/>
      <c r="C52" s="313" t="s">
        <v>27</v>
      </c>
      <c r="D52" s="313"/>
      <c r="E52" s="292"/>
      <c r="F52" s="444"/>
      <c r="G52" s="288"/>
      <c r="AD52" s="134"/>
    </row>
    <row r="53" spans="1:42" ht="16.5" customHeight="1">
      <c r="A53" s="298"/>
      <c r="B53" s="133"/>
      <c r="C53" s="133"/>
      <c r="D53" s="313"/>
      <c r="E53" s="299"/>
      <c r="F53" s="444"/>
      <c r="G53" s="288"/>
    </row>
    <row r="54" spans="1:42" ht="16.5" customHeight="1">
      <c r="A54" s="293"/>
      <c r="B54" s="133"/>
      <c r="C54" s="313"/>
      <c r="D54" s="313"/>
      <c r="E54" s="290"/>
      <c r="F54" s="290"/>
      <c r="G54" s="290"/>
    </row>
    <row r="55" spans="1:42" ht="16.5" customHeight="1">
      <c r="A55" s="301"/>
      <c r="B55" s="133"/>
      <c r="C55" s="313"/>
      <c r="D55" s="313"/>
      <c r="E55" s="429"/>
      <c r="F55" s="429"/>
      <c r="G55" s="300"/>
    </row>
    <row r="56" spans="1:42" ht="16.5" customHeight="1">
      <c r="A56" s="293"/>
      <c r="B56" s="133"/>
      <c r="C56" s="313"/>
      <c r="D56" s="313"/>
      <c r="E56" s="292"/>
      <c r="F56" s="444"/>
      <c r="G56" s="288"/>
      <c r="T56" s="72"/>
      <c r="U56" s="72"/>
      <c r="V56" s="135"/>
    </row>
    <row r="57" spans="1:42" ht="16.5" customHeight="1">
      <c r="A57" s="293"/>
      <c r="B57" s="133"/>
      <c r="C57" s="313"/>
      <c r="D57" s="313"/>
      <c r="E57" s="292"/>
      <c r="F57" s="444"/>
      <c r="G57" s="288"/>
      <c r="S57" s="32"/>
      <c r="T57" s="32"/>
      <c r="U57" s="32"/>
      <c r="V57" s="32"/>
    </row>
    <row r="58" spans="1:42" ht="16.5" customHeight="1">
      <c r="A58" s="293"/>
      <c r="B58" s="133"/>
      <c r="C58" s="313"/>
      <c r="D58" s="313"/>
      <c r="E58" s="292"/>
      <c r="F58" s="444"/>
      <c r="G58" s="288"/>
    </row>
    <row r="59" spans="1:42" ht="16.5" customHeight="1">
      <c r="A59" s="293"/>
      <c r="B59" s="133"/>
      <c r="C59" s="313"/>
      <c r="D59" s="313"/>
      <c r="E59" s="292"/>
      <c r="F59" s="444"/>
      <c r="G59" s="288"/>
      <c r="W59" s="72"/>
    </row>
    <row r="60" spans="1:42" ht="16.5" customHeight="1">
      <c r="E60" s="562"/>
      <c r="F60" s="562"/>
      <c r="G60" s="562"/>
      <c r="W60" s="138"/>
    </row>
    <row r="61" spans="1:42" ht="16.5" customHeight="1">
      <c r="E61" s="292"/>
      <c r="F61" s="444"/>
      <c r="G61" s="292"/>
    </row>
    <row r="62" spans="1:42" ht="16.5" customHeight="1">
      <c r="E62" s="562"/>
      <c r="F62" s="562"/>
      <c r="G62" s="562"/>
    </row>
    <row r="63" spans="1:42" ht="16.5" customHeight="1">
      <c r="E63" s="136"/>
      <c r="F63" s="136"/>
    </row>
    <row r="64" spans="1:42" ht="16.5" customHeight="1">
      <c r="E64" s="137"/>
      <c r="F64" s="137"/>
    </row>
    <row r="65" spans="5:6" ht="16.5" customHeight="1">
      <c r="E65" s="137"/>
      <c r="F65" s="137"/>
    </row>
    <row r="66" spans="5:6" ht="16.5" customHeight="1"/>
    <row r="67" spans="5:6" ht="16.5" customHeight="1"/>
    <row r="68" spans="5:6" ht="16.5" customHeight="1"/>
    <row r="69" spans="5:6" ht="16.5" customHeight="1"/>
    <row r="70" spans="5:6" ht="16.5" customHeight="1"/>
    <row r="71" spans="5:6" ht="16.5" customHeight="1"/>
    <row r="72" spans="5:6" ht="16.5" customHeight="1"/>
    <row r="73" spans="5:6" ht="16.5" customHeight="1"/>
  </sheetData>
  <mergeCells count="35">
    <mergeCell ref="E60:G60"/>
    <mergeCell ref="E62:G62"/>
    <mergeCell ref="AB7:AB8"/>
    <mergeCell ref="X7:AA7"/>
    <mergeCell ref="V6:W7"/>
    <mergeCell ref="X21:Y21"/>
    <mergeCell ref="X24:Y24"/>
    <mergeCell ref="AD6:AE7"/>
    <mergeCell ref="C7:C8"/>
    <mergeCell ref="D7:D8"/>
    <mergeCell ref="G7:G8"/>
    <mergeCell ref="E5:G6"/>
    <mergeCell ref="H5:O5"/>
    <mergeCell ref="M6:M8"/>
    <mergeCell ref="H7:K7"/>
    <mergeCell ref="L7:L8"/>
    <mergeCell ref="N6:O7"/>
    <mergeCell ref="H6:L6"/>
    <mergeCell ref="F7:F8"/>
    <mergeCell ref="A1:AG1"/>
    <mergeCell ref="A2:AG2"/>
    <mergeCell ref="P7:S7"/>
    <mergeCell ref="T7:T8"/>
    <mergeCell ref="P6:T6"/>
    <mergeCell ref="U6:U8"/>
    <mergeCell ref="A5:A8"/>
    <mergeCell ref="X5:AE5"/>
    <mergeCell ref="AC6:AC8"/>
    <mergeCell ref="X6:AB6"/>
    <mergeCell ref="B5:B8"/>
    <mergeCell ref="E7:E8"/>
    <mergeCell ref="P5:W5"/>
    <mergeCell ref="C5:D6"/>
    <mergeCell ref="AF6:AF8"/>
    <mergeCell ref="AG6:AG8"/>
  </mergeCells>
  <phoneticPr fontId="2" type="noConversion"/>
  <printOptions horizontalCentered="1"/>
  <pageMargins left="0.19685039370078741" right="0" top="0.19685039370078741" bottom="0" header="0" footer="0"/>
  <pageSetup paperSize="9" scale="65" orientation="landscape" r:id="rId1"/>
  <headerFooter alignWithMargins="0">
    <oddFooter>&amp;C&amp;8&amp;Z&amp;F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26"/>
  <sheetViews>
    <sheetView zoomScale="90" zoomScaleNormal="90" workbookViewId="0">
      <selection activeCell="F14" sqref="F14"/>
    </sheetView>
  </sheetViews>
  <sheetFormatPr defaultRowHeight="27.75" customHeight="1"/>
  <cols>
    <col min="1" max="2" width="18.85546875" style="25" customWidth="1"/>
    <col min="3" max="8" width="21.42578125" style="25" customWidth="1"/>
    <col min="9" max="16384" width="9.140625" style="25"/>
  </cols>
  <sheetData>
    <row r="1" spans="1:8" s="100" customFormat="1" ht="24" customHeight="1">
      <c r="A1" s="638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38"/>
      <c r="C1" s="638"/>
      <c r="D1" s="638"/>
      <c r="E1" s="638"/>
      <c r="F1" s="638"/>
      <c r="G1" s="638"/>
      <c r="H1" s="638"/>
    </row>
    <row r="2" spans="1:8" s="100" customFormat="1" ht="24" customHeight="1">
      <c r="A2" s="638" t="s">
        <v>0</v>
      </c>
      <c r="B2" s="638"/>
      <c r="C2" s="638"/>
      <c r="D2" s="638"/>
      <c r="E2" s="638"/>
      <c r="F2" s="638"/>
      <c r="G2" s="638"/>
      <c r="H2" s="638"/>
    </row>
    <row r="3" spans="1:8" s="100" customFormat="1" ht="28.5" customHeight="1">
      <c r="A3" s="154" t="s">
        <v>210</v>
      </c>
      <c r="B3" s="154"/>
    </row>
    <row r="4" spans="1:8" s="83" customFormat="1" ht="23.25" customHeight="1">
      <c r="A4" s="603" t="s">
        <v>13</v>
      </c>
      <c r="B4" s="698" t="s">
        <v>211</v>
      </c>
      <c r="C4" s="624" t="s">
        <v>212</v>
      </c>
      <c r="D4" s="625"/>
      <c r="E4" s="625"/>
      <c r="F4" s="625"/>
      <c r="G4" s="625"/>
      <c r="H4" s="626"/>
    </row>
    <row r="5" spans="1:8" s="83" customFormat="1" ht="43.5" customHeight="1">
      <c r="A5" s="604"/>
      <c r="B5" s="700"/>
      <c r="C5" s="320" t="s">
        <v>213</v>
      </c>
      <c r="D5" s="320" t="s">
        <v>214</v>
      </c>
      <c r="E5" s="320" t="s">
        <v>215</v>
      </c>
      <c r="F5" s="320" t="s">
        <v>216</v>
      </c>
      <c r="G5" s="320" t="s">
        <v>217</v>
      </c>
      <c r="H5" s="320" t="s">
        <v>218</v>
      </c>
    </row>
    <row r="6" spans="1:8" s="100" customFormat="1" ht="28.5" customHeight="1">
      <c r="A6" s="155" t="s">
        <v>6</v>
      </c>
      <c r="B6" s="367"/>
      <c r="C6" s="168"/>
      <c r="D6" s="360"/>
      <c r="E6" s="360"/>
      <c r="F6" s="360"/>
      <c r="G6" s="360"/>
      <c r="H6" s="370"/>
    </row>
    <row r="7" spans="1:8" s="100" customFormat="1" ht="28.5" customHeight="1">
      <c r="A7" s="156" t="s">
        <v>7</v>
      </c>
      <c r="B7" s="367"/>
      <c r="C7" s="168"/>
      <c r="D7" s="360"/>
      <c r="E7" s="360"/>
      <c r="F7" s="360"/>
      <c r="G7" s="360"/>
      <c r="H7" s="159"/>
    </row>
    <row r="8" spans="1:8" s="100" customFormat="1" ht="28.5" customHeight="1">
      <c r="A8" s="156" t="s">
        <v>8</v>
      </c>
      <c r="B8" s="367"/>
      <c r="C8" s="168"/>
      <c r="D8" s="360"/>
      <c r="E8" s="360"/>
      <c r="F8" s="360"/>
      <c r="G8" s="360"/>
      <c r="H8" s="159"/>
    </row>
    <row r="9" spans="1:8" s="100" customFormat="1" ht="28.5" customHeight="1">
      <c r="A9" s="160" t="s">
        <v>9</v>
      </c>
      <c r="B9" s="368"/>
      <c r="C9" s="168"/>
      <c r="D9" s="360"/>
      <c r="E9" s="360"/>
      <c r="F9" s="360"/>
      <c r="G9" s="360"/>
      <c r="H9" s="159"/>
    </row>
    <row r="10" spans="1:8" s="100" customFormat="1" ht="28.5" customHeight="1">
      <c r="A10" s="156" t="s">
        <v>10</v>
      </c>
      <c r="B10" s="367"/>
      <c r="C10" s="168"/>
      <c r="D10" s="360"/>
      <c r="E10" s="360"/>
      <c r="F10" s="360"/>
      <c r="G10" s="360"/>
      <c r="H10" s="159"/>
    </row>
    <row r="11" spans="1:8" s="100" customFormat="1" ht="28.5" customHeight="1">
      <c r="A11" s="156" t="s">
        <v>11</v>
      </c>
      <c r="B11" s="367"/>
      <c r="C11" s="168"/>
      <c r="D11" s="360"/>
      <c r="E11" s="360"/>
      <c r="F11" s="360"/>
      <c r="G11" s="360"/>
      <c r="H11" s="159"/>
    </row>
    <row r="12" spans="1:8" s="100" customFormat="1" ht="28.5" customHeight="1">
      <c r="A12" s="163" t="s">
        <v>12</v>
      </c>
      <c r="B12" s="369"/>
      <c r="C12" s="168"/>
      <c r="D12" s="360"/>
      <c r="E12" s="360"/>
      <c r="F12" s="360"/>
      <c r="G12" s="360"/>
      <c r="H12" s="159"/>
    </row>
    <row r="13" spans="1:8" s="83" customFormat="1" ht="31.5" customHeight="1">
      <c r="A13" s="319" t="s">
        <v>5</v>
      </c>
      <c r="B13" s="319"/>
      <c r="C13" s="37"/>
      <c r="D13" s="37"/>
      <c r="E13" s="37"/>
      <c r="F13" s="37"/>
      <c r="G13" s="37"/>
      <c r="H13" s="240"/>
    </row>
    <row r="14" spans="1:8" ht="19.5" customHeight="1" thickBot="1"/>
    <row r="15" spans="1:8" ht="20.25" customHeight="1">
      <c r="A15" s="178" t="s">
        <v>37</v>
      </c>
      <c r="B15" s="355"/>
      <c r="C15" s="57"/>
      <c r="D15" s="57"/>
      <c r="E15" s="253"/>
      <c r="F15" s="58"/>
      <c r="G15" s="58"/>
      <c r="H15" s="58"/>
    </row>
    <row r="16" spans="1:8" ht="18.75" customHeight="1">
      <c r="A16" s="180" t="s">
        <v>13</v>
      </c>
      <c r="B16" s="371" t="s">
        <v>219</v>
      </c>
      <c r="C16" s="58"/>
      <c r="D16" s="58"/>
      <c r="E16" s="254"/>
      <c r="F16" s="58"/>
      <c r="G16" s="58"/>
      <c r="H16" s="58"/>
    </row>
    <row r="17" spans="1:8" s="100" customFormat="1" ht="18.75" customHeight="1">
      <c r="A17" s="354"/>
      <c r="B17" s="371" t="s">
        <v>220</v>
      </c>
      <c r="C17" s="351"/>
      <c r="D17" s="351"/>
      <c r="E17" s="352"/>
      <c r="F17" s="351"/>
      <c r="G17" s="351"/>
      <c r="H17" s="351"/>
    </row>
    <row r="18" spans="1:8" s="100" customFormat="1" ht="18.75" customHeight="1">
      <c r="A18" s="180"/>
      <c r="B18" s="371"/>
      <c r="C18" s="351"/>
      <c r="D18" s="351"/>
      <c r="E18" s="352"/>
      <c r="F18" s="351"/>
      <c r="G18" s="351"/>
      <c r="H18" s="351"/>
    </row>
    <row r="19" spans="1:8" s="100" customFormat="1" ht="18.75" customHeight="1">
      <c r="A19" s="180" t="s">
        <v>34</v>
      </c>
      <c r="B19" s="371" t="s">
        <v>221</v>
      </c>
      <c r="C19" s="351"/>
      <c r="D19" s="351"/>
      <c r="E19" s="352"/>
      <c r="F19" s="351"/>
      <c r="G19" s="351"/>
      <c r="H19" s="351"/>
    </row>
    <row r="20" spans="1:8" s="100" customFormat="1" ht="18.75" customHeight="1">
      <c r="A20" s="180"/>
      <c r="B20" s="372" t="s">
        <v>222</v>
      </c>
      <c r="C20" s="351"/>
      <c r="D20" s="351"/>
      <c r="E20" s="352"/>
      <c r="F20" s="351"/>
      <c r="G20" s="351"/>
      <c r="H20" s="351"/>
    </row>
    <row r="21" spans="1:8" s="100" customFormat="1" ht="18.75" customHeight="1">
      <c r="A21" s="180"/>
      <c r="B21" s="371" t="s">
        <v>223</v>
      </c>
      <c r="C21" s="351"/>
      <c r="D21" s="351"/>
      <c r="E21" s="352"/>
      <c r="F21" s="351"/>
      <c r="G21" s="351"/>
      <c r="H21" s="351"/>
    </row>
    <row r="22" spans="1:8" s="100" customFormat="1" ht="18.75" customHeight="1">
      <c r="A22" s="180"/>
      <c r="B22" s="371" t="s">
        <v>224</v>
      </c>
      <c r="C22" s="351"/>
      <c r="D22" s="351"/>
      <c r="E22" s="352"/>
      <c r="F22" s="351"/>
      <c r="G22" s="351"/>
      <c r="H22" s="351"/>
    </row>
    <row r="23" spans="1:8" s="100" customFormat="1" ht="18.75" customHeight="1">
      <c r="A23" s="180"/>
      <c r="B23" s="371" t="s">
        <v>225</v>
      </c>
      <c r="C23" s="351"/>
      <c r="D23" s="351"/>
      <c r="E23" s="352"/>
      <c r="F23" s="351"/>
      <c r="G23" s="351"/>
      <c r="H23" s="351"/>
    </row>
    <row r="24" spans="1:8" s="100" customFormat="1" ht="18.75" customHeight="1">
      <c r="A24" s="180"/>
      <c r="B24" s="371" t="s">
        <v>226</v>
      </c>
      <c r="C24" s="351"/>
      <c r="D24" s="351"/>
      <c r="E24" s="352"/>
      <c r="F24" s="351"/>
      <c r="G24" s="351"/>
      <c r="H24" s="351"/>
    </row>
    <row r="25" spans="1:8" s="100" customFormat="1" ht="18.75" customHeight="1">
      <c r="A25" s="180"/>
      <c r="B25" s="371" t="s">
        <v>227</v>
      </c>
      <c r="C25" s="351"/>
      <c r="D25" s="351"/>
      <c r="E25" s="352"/>
      <c r="F25" s="351"/>
      <c r="G25" s="351"/>
      <c r="H25" s="351"/>
    </row>
    <row r="26" spans="1:8" ht="12.75" customHeight="1" thickBot="1">
      <c r="A26" s="181"/>
      <c r="B26" s="61"/>
      <c r="C26" s="61"/>
      <c r="D26" s="61"/>
      <c r="E26" s="255"/>
      <c r="F26" s="58"/>
      <c r="G26" s="58"/>
      <c r="H26" s="58"/>
    </row>
  </sheetData>
  <mergeCells count="5">
    <mergeCell ref="B4:B5"/>
    <mergeCell ref="A1:H1"/>
    <mergeCell ref="A2:H2"/>
    <mergeCell ref="A4:A5"/>
    <mergeCell ref="C4:H4"/>
  </mergeCells>
  <printOptions horizontalCentered="1"/>
  <pageMargins left="0" right="0" top="0.31496062992125984" bottom="0" header="0" footer="0"/>
  <pageSetup paperSize="9" scale="87" orientation="landscape" r:id="rId1"/>
  <headerFooter alignWithMargins="0">
    <oddFooter>&amp;C&amp;8&amp;Z&amp;F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Z37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27.75" customHeight="1"/>
  <cols>
    <col min="1" max="1" width="15.42578125" style="201" customWidth="1"/>
    <col min="2" max="2" width="11.5703125" style="201" customWidth="1"/>
    <col min="3" max="7" width="6.28515625" style="201" customWidth="1"/>
    <col min="8" max="8" width="8.28515625" style="201" customWidth="1"/>
    <col min="9" max="9" width="8" style="201" customWidth="1"/>
    <col min="10" max="10" width="8.85546875" style="201" customWidth="1"/>
    <col min="11" max="15" width="5.85546875" style="201" customWidth="1"/>
    <col min="16" max="17" width="6.85546875" style="201" customWidth="1"/>
    <col min="18" max="18" width="9.140625" style="201" customWidth="1"/>
    <col min="19" max="22" width="6.5703125" style="201" customWidth="1"/>
    <col min="23" max="26" width="7.140625" style="201" customWidth="1"/>
    <col min="27" max="16384" width="9.140625" style="201"/>
  </cols>
  <sheetData>
    <row r="1" spans="1:26" ht="22.5" customHeight="1">
      <c r="A1" s="657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</row>
    <row r="2" spans="1:26" ht="22.5" customHeight="1">
      <c r="A2" s="657" t="s">
        <v>0</v>
      </c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</row>
    <row r="3" spans="1:26" ht="37.5" customHeight="1">
      <c r="A3" s="202" t="s">
        <v>230</v>
      </c>
      <c r="B3" s="202"/>
    </row>
    <row r="4" spans="1:26" s="203" customFormat="1" ht="25.5" customHeight="1">
      <c r="A4" s="658" t="s">
        <v>13</v>
      </c>
      <c r="B4" s="708" t="s">
        <v>261</v>
      </c>
      <c r="C4" s="664" t="s">
        <v>66</v>
      </c>
      <c r="D4" s="665"/>
      <c r="E4" s="665"/>
      <c r="F4" s="665"/>
      <c r="G4" s="665"/>
      <c r="H4" s="665"/>
      <c r="I4" s="665"/>
      <c r="J4" s="665"/>
      <c r="K4" s="673" t="s">
        <v>228</v>
      </c>
      <c r="L4" s="674"/>
      <c r="M4" s="674"/>
      <c r="N4" s="674"/>
      <c r="O4" s="674"/>
      <c r="P4" s="674"/>
      <c r="Q4" s="674"/>
      <c r="R4" s="675"/>
      <c r="S4" s="673" t="s">
        <v>229</v>
      </c>
      <c r="T4" s="674"/>
      <c r="U4" s="674"/>
      <c r="V4" s="674"/>
      <c r="W4" s="674"/>
      <c r="X4" s="674"/>
      <c r="Y4" s="674"/>
      <c r="Z4" s="675"/>
    </row>
    <row r="5" spans="1:26" s="203" customFormat="1" ht="24" customHeight="1">
      <c r="A5" s="659"/>
      <c r="B5" s="708"/>
      <c r="C5" s="666" t="s">
        <v>20</v>
      </c>
      <c r="D5" s="667"/>
      <c r="E5" s="667"/>
      <c r="F5" s="667"/>
      <c r="G5" s="667"/>
      <c r="H5" s="668"/>
      <c r="I5" s="669" t="s">
        <v>23</v>
      </c>
      <c r="J5" s="670"/>
      <c r="K5" s="666" t="s">
        <v>20</v>
      </c>
      <c r="L5" s="667"/>
      <c r="M5" s="667"/>
      <c r="N5" s="667"/>
      <c r="O5" s="667"/>
      <c r="P5" s="668"/>
      <c r="Q5" s="669" t="s">
        <v>23</v>
      </c>
      <c r="R5" s="670"/>
      <c r="S5" s="666" t="s">
        <v>20</v>
      </c>
      <c r="T5" s="667"/>
      <c r="U5" s="667"/>
      <c r="V5" s="667"/>
      <c r="W5" s="667"/>
      <c r="X5" s="668"/>
      <c r="Y5" s="671" t="s">
        <v>23</v>
      </c>
      <c r="Z5" s="672"/>
    </row>
    <row r="6" spans="1:26" s="203" customFormat="1" ht="27" customHeight="1">
      <c r="A6" s="659"/>
      <c r="B6" s="708"/>
      <c r="C6" s="676" t="s">
        <v>1</v>
      </c>
      <c r="D6" s="676"/>
      <c r="E6" s="676"/>
      <c r="F6" s="676"/>
      <c r="G6" s="676"/>
      <c r="H6" s="677" t="s">
        <v>26</v>
      </c>
      <c r="I6" s="679" t="s">
        <v>14</v>
      </c>
      <c r="J6" s="681" t="s">
        <v>25</v>
      </c>
      <c r="K6" s="676" t="s">
        <v>1</v>
      </c>
      <c r="L6" s="676"/>
      <c r="M6" s="676"/>
      <c r="N6" s="676"/>
      <c r="O6" s="676"/>
      <c r="P6" s="677" t="s">
        <v>26</v>
      </c>
      <c r="Q6" s="686" t="s">
        <v>14</v>
      </c>
      <c r="R6" s="681" t="s">
        <v>25</v>
      </c>
      <c r="S6" s="676" t="s">
        <v>1</v>
      </c>
      <c r="T6" s="676"/>
      <c r="U6" s="676"/>
      <c r="V6" s="676"/>
      <c r="W6" s="676"/>
      <c r="X6" s="677" t="s">
        <v>26</v>
      </c>
      <c r="Y6" s="686" t="s">
        <v>14</v>
      </c>
      <c r="Z6" s="672" t="s">
        <v>25</v>
      </c>
    </row>
    <row r="7" spans="1:26" s="203" customFormat="1" ht="54.75" customHeight="1">
      <c r="A7" s="660"/>
      <c r="B7" s="709"/>
      <c r="C7" s="204">
        <v>1</v>
      </c>
      <c r="D7" s="204">
        <v>2</v>
      </c>
      <c r="E7" s="204">
        <v>3</v>
      </c>
      <c r="F7" s="204">
        <v>4</v>
      </c>
      <c r="G7" s="204" t="s">
        <v>2</v>
      </c>
      <c r="H7" s="678"/>
      <c r="I7" s="680"/>
      <c r="J7" s="682"/>
      <c r="K7" s="204">
        <v>1</v>
      </c>
      <c r="L7" s="204">
        <v>2</v>
      </c>
      <c r="M7" s="204">
        <v>3</v>
      </c>
      <c r="N7" s="204">
        <v>4</v>
      </c>
      <c r="O7" s="204" t="s">
        <v>2</v>
      </c>
      <c r="P7" s="678"/>
      <c r="Q7" s="680"/>
      <c r="R7" s="682"/>
      <c r="S7" s="204">
        <v>1</v>
      </c>
      <c r="T7" s="204">
        <v>2</v>
      </c>
      <c r="U7" s="204">
        <v>3</v>
      </c>
      <c r="V7" s="204">
        <v>4</v>
      </c>
      <c r="W7" s="204" t="s">
        <v>2</v>
      </c>
      <c r="X7" s="678"/>
      <c r="Y7" s="680"/>
      <c r="Z7" s="682"/>
    </row>
    <row r="8" spans="1:26" ht="24" customHeight="1">
      <c r="A8" s="205" t="s">
        <v>6</v>
      </c>
      <c r="B8" s="259">
        <v>5</v>
      </c>
      <c r="C8" s="182"/>
      <c r="D8" s="182"/>
      <c r="E8" s="182"/>
      <c r="F8" s="182"/>
      <c r="G8" s="182"/>
      <c r="H8" s="183"/>
      <c r="I8" s="184"/>
      <c r="J8" s="185"/>
      <c r="K8" s="182">
        <f>0+0+5</f>
        <v>5</v>
      </c>
      <c r="L8" s="182"/>
      <c r="M8" s="182"/>
      <c r="N8" s="182"/>
      <c r="O8" s="182">
        <f>SUM(K8:N8)</f>
        <v>5</v>
      </c>
      <c r="P8" s="183">
        <f>K8</f>
        <v>5</v>
      </c>
      <c r="Q8" s="185"/>
      <c r="R8" s="185"/>
      <c r="S8" s="182"/>
      <c r="T8" s="182">
        <f>3+0+0</f>
        <v>3</v>
      </c>
      <c r="U8" s="182"/>
      <c r="V8" s="182"/>
      <c r="W8" s="182">
        <f t="shared" ref="W8:W14" si="0">SUM(S8:V8)</f>
        <v>3</v>
      </c>
      <c r="X8" s="186"/>
      <c r="Y8" s="184"/>
      <c r="Z8" s="185"/>
    </row>
    <row r="9" spans="1:26" ht="24" customHeight="1">
      <c r="A9" s="206" t="s">
        <v>7</v>
      </c>
      <c r="B9" s="260">
        <v>4</v>
      </c>
      <c r="C9" s="187"/>
      <c r="D9" s="187"/>
      <c r="E9" s="187"/>
      <c r="F9" s="187"/>
      <c r="G9" s="187"/>
      <c r="H9" s="183"/>
      <c r="I9" s="184"/>
      <c r="J9" s="185"/>
      <c r="K9" s="187">
        <f>0+1+0</f>
        <v>1</v>
      </c>
      <c r="L9" s="187"/>
      <c r="M9" s="187"/>
      <c r="N9" s="187"/>
      <c r="O9" s="187">
        <f>SUM(K9:N9)</f>
        <v>1</v>
      </c>
      <c r="P9" s="183">
        <f>K9</f>
        <v>1</v>
      </c>
      <c r="Q9" s="185"/>
      <c r="R9" s="185"/>
      <c r="S9" s="187">
        <f>0+2+0</f>
        <v>2</v>
      </c>
      <c r="T9" s="187">
        <f>1+1+0</f>
        <v>2</v>
      </c>
      <c r="U9" s="187"/>
      <c r="V9" s="187"/>
      <c r="W9" s="187">
        <f t="shared" si="0"/>
        <v>4</v>
      </c>
      <c r="X9" s="188">
        <f>S9</f>
        <v>2</v>
      </c>
      <c r="Y9" s="184"/>
      <c r="Z9" s="185"/>
    </row>
    <row r="10" spans="1:26" ht="24" customHeight="1">
      <c r="A10" s="206" t="s">
        <v>8</v>
      </c>
      <c r="B10" s="260">
        <v>4</v>
      </c>
      <c r="C10" s="187"/>
      <c r="D10" s="187"/>
      <c r="E10" s="187"/>
      <c r="F10" s="187"/>
      <c r="G10" s="187"/>
      <c r="H10" s="183"/>
      <c r="I10" s="184"/>
      <c r="J10" s="185"/>
      <c r="K10" s="187"/>
      <c r="L10" s="187"/>
      <c r="M10" s="187"/>
      <c r="N10" s="187"/>
      <c r="O10" s="187">
        <f t="shared" ref="O10:O14" si="1">SUM(K10:N10)</f>
        <v>0</v>
      </c>
      <c r="P10" s="183">
        <f t="shared" ref="P10:P14" si="2">K10</f>
        <v>0</v>
      </c>
      <c r="Q10" s="185"/>
      <c r="R10" s="185"/>
      <c r="S10" s="187">
        <f>3+0+0</f>
        <v>3</v>
      </c>
      <c r="T10" s="187">
        <f>1+0+0</f>
        <v>1</v>
      </c>
      <c r="U10" s="187"/>
      <c r="V10" s="187"/>
      <c r="W10" s="187">
        <f t="shared" si="0"/>
        <v>4</v>
      </c>
      <c r="X10" s="188">
        <f>S10</f>
        <v>3</v>
      </c>
      <c r="Y10" s="184"/>
      <c r="Z10" s="185"/>
    </row>
    <row r="11" spans="1:26" ht="24" customHeight="1">
      <c r="A11" s="207" t="s">
        <v>9</v>
      </c>
      <c r="B11" s="261">
        <v>4</v>
      </c>
      <c r="C11" s="189"/>
      <c r="D11" s="189"/>
      <c r="E11" s="189"/>
      <c r="F11" s="189"/>
      <c r="G11" s="187"/>
      <c r="H11" s="183"/>
      <c r="I11" s="184"/>
      <c r="J11" s="185"/>
      <c r="K11" s="189">
        <f>0+0+1</f>
        <v>1</v>
      </c>
      <c r="L11" s="189"/>
      <c r="M11" s="189"/>
      <c r="N11" s="189"/>
      <c r="O11" s="187">
        <f t="shared" si="1"/>
        <v>1</v>
      </c>
      <c r="P11" s="183">
        <f t="shared" si="2"/>
        <v>1</v>
      </c>
      <c r="Q11" s="185"/>
      <c r="R11" s="185"/>
      <c r="S11" s="189">
        <f>0+1+0</f>
        <v>1</v>
      </c>
      <c r="T11" s="189">
        <f>1+0+0</f>
        <v>1</v>
      </c>
      <c r="U11" s="189"/>
      <c r="V11" s="189"/>
      <c r="W11" s="187">
        <f t="shared" si="0"/>
        <v>2</v>
      </c>
      <c r="X11" s="188">
        <f t="shared" ref="X11:X14" si="3">S11</f>
        <v>1</v>
      </c>
      <c r="Y11" s="269"/>
      <c r="Z11" s="185"/>
    </row>
    <row r="12" spans="1:26" ht="24" customHeight="1">
      <c r="A12" s="208" t="s">
        <v>10</v>
      </c>
      <c r="B12" s="262">
        <v>6</v>
      </c>
      <c r="C12" s="190"/>
      <c r="D12" s="190"/>
      <c r="E12" s="190"/>
      <c r="F12" s="190"/>
      <c r="G12" s="187"/>
      <c r="H12" s="183"/>
      <c r="I12" s="191"/>
      <c r="J12" s="185"/>
      <c r="K12" s="193">
        <f>2+0+2</f>
        <v>4</v>
      </c>
      <c r="L12" s="193"/>
      <c r="M12" s="193"/>
      <c r="N12" s="193"/>
      <c r="O12" s="187">
        <f t="shared" si="1"/>
        <v>4</v>
      </c>
      <c r="P12" s="183">
        <f t="shared" si="2"/>
        <v>4</v>
      </c>
      <c r="Q12" s="192"/>
      <c r="R12" s="185"/>
      <c r="S12" s="193"/>
      <c r="T12" s="193">
        <f>3+0+0</f>
        <v>3</v>
      </c>
      <c r="U12" s="193"/>
      <c r="V12" s="193"/>
      <c r="W12" s="187">
        <f t="shared" si="0"/>
        <v>3</v>
      </c>
      <c r="X12" s="188">
        <f t="shared" si="3"/>
        <v>0</v>
      </c>
      <c r="Y12" s="191"/>
      <c r="Z12" s="185"/>
    </row>
    <row r="13" spans="1:26" ht="24" customHeight="1">
      <c r="A13" s="208" t="s">
        <v>11</v>
      </c>
      <c r="B13" s="262">
        <v>16</v>
      </c>
      <c r="C13" s="190"/>
      <c r="D13" s="190"/>
      <c r="E13" s="190"/>
      <c r="F13" s="190"/>
      <c r="G13" s="187"/>
      <c r="H13" s="183"/>
      <c r="I13" s="191"/>
      <c r="J13" s="185"/>
      <c r="K13" s="193">
        <f>2+0+3</f>
        <v>5</v>
      </c>
      <c r="L13" s="193"/>
      <c r="M13" s="193">
        <f>0+1+0</f>
        <v>1</v>
      </c>
      <c r="N13" s="193"/>
      <c r="O13" s="187">
        <f t="shared" si="1"/>
        <v>6</v>
      </c>
      <c r="P13" s="183">
        <f t="shared" si="2"/>
        <v>5</v>
      </c>
      <c r="Q13" s="185"/>
      <c r="R13" s="192"/>
      <c r="S13" s="193">
        <f>6+2+0</f>
        <v>8</v>
      </c>
      <c r="T13" s="193">
        <f>4+1+0</f>
        <v>5</v>
      </c>
      <c r="U13" s="193"/>
      <c r="V13" s="193">
        <f>1+0+0</f>
        <v>1</v>
      </c>
      <c r="W13" s="187">
        <f t="shared" si="0"/>
        <v>14</v>
      </c>
      <c r="X13" s="188">
        <f t="shared" si="3"/>
        <v>8</v>
      </c>
      <c r="Y13" s="191"/>
      <c r="Z13" s="185"/>
    </row>
    <row r="14" spans="1:26" ht="24" customHeight="1">
      <c r="A14" s="209" t="s">
        <v>12</v>
      </c>
      <c r="B14" s="263">
        <v>3</v>
      </c>
      <c r="C14" s="194"/>
      <c r="D14" s="194"/>
      <c r="E14" s="194"/>
      <c r="F14" s="194"/>
      <c r="G14" s="194"/>
      <c r="H14" s="195"/>
      <c r="I14" s="196"/>
      <c r="J14" s="197"/>
      <c r="K14" s="194">
        <f>0+0+1</f>
        <v>1</v>
      </c>
      <c r="L14" s="194"/>
      <c r="M14" s="194"/>
      <c r="N14" s="194"/>
      <c r="O14" s="194">
        <f t="shared" si="1"/>
        <v>1</v>
      </c>
      <c r="P14" s="195">
        <f t="shared" si="2"/>
        <v>1</v>
      </c>
      <c r="Q14" s="197"/>
      <c r="R14" s="197"/>
      <c r="S14" s="194">
        <f>2+0+0</f>
        <v>2</v>
      </c>
      <c r="T14" s="194"/>
      <c r="U14" s="194"/>
      <c r="V14" s="194"/>
      <c r="W14" s="194">
        <f t="shared" si="0"/>
        <v>2</v>
      </c>
      <c r="X14" s="195">
        <f t="shared" si="3"/>
        <v>2</v>
      </c>
      <c r="Y14" s="196"/>
      <c r="Z14" s="197"/>
    </row>
    <row r="15" spans="1:26" ht="24" customHeight="1">
      <c r="A15" s="42" t="s">
        <v>5</v>
      </c>
      <c r="B15" s="42">
        <f>SUM(B8:B14)</f>
        <v>42</v>
      </c>
      <c r="C15" s="199">
        <f t="shared" ref="C15:G15" si="4">SUM(C8:C14)</f>
        <v>0</v>
      </c>
      <c r="D15" s="199">
        <f t="shared" si="4"/>
        <v>0</v>
      </c>
      <c r="E15" s="199">
        <f t="shared" si="4"/>
        <v>0</v>
      </c>
      <c r="F15" s="199">
        <f t="shared" si="4"/>
        <v>0</v>
      </c>
      <c r="G15" s="199">
        <f t="shared" si="4"/>
        <v>0</v>
      </c>
      <c r="H15" s="199">
        <f>SUM(H8:H14)</f>
        <v>0</v>
      </c>
      <c r="I15" s="200"/>
      <c r="J15" s="200"/>
      <c r="K15" s="199">
        <f t="shared" ref="K15:O15" si="5">SUM(K8:K14)</f>
        <v>17</v>
      </c>
      <c r="L15" s="199">
        <f t="shared" si="5"/>
        <v>0</v>
      </c>
      <c r="M15" s="199">
        <f t="shared" si="5"/>
        <v>1</v>
      </c>
      <c r="N15" s="199">
        <f t="shared" si="5"/>
        <v>0</v>
      </c>
      <c r="O15" s="199">
        <f t="shared" si="5"/>
        <v>18</v>
      </c>
      <c r="P15" s="199">
        <f>SUM(P8:P14)</f>
        <v>17</v>
      </c>
      <c r="Q15" s="200">
        <f>SUM(Q8:Q14)</f>
        <v>0</v>
      </c>
      <c r="R15" s="200"/>
      <c r="S15" s="199">
        <f t="shared" ref="S15:X15" si="6">SUM(S8:S14)</f>
        <v>16</v>
      </c>
      <c r="T15" s="199">
        <f t="shared" si="6"/>
        <v>15</v>
      </c>
      <c r="U15" s="199">
        <f t="shared" si="6"/>
        <v>0</v>
      </c>
      <c r="V15" s="199">
        <f t="shared" si="6"/>
        <v>1</v>
      </c>
      <c r="W15" s="199">
        <f t="shared" si="6"/>
        <v>32</v>
      </c>
      <c r="X15" s="199">
        <f t="shared" si="6"/>
        <v>16</v>
      </c>
      <c r="Y15" s="200">
        <f>SUM(Y8:Y14)</f>
        <v>0</v>
      </c>
      <c r="Z15" s="200">
        <f t="shared" ref="Z15" si="7">Y15*100/X15</f>
        <v>0</v>
      </c>
    </row>
    <row r="16" spans="1:26" ht="9" customHeight="1"/>
    <row r="17" spans="3:23" ht="18.75" customHeight="1">
      <c r="T17" s="24"/>
    </row>
    <row r="18" spans="3:23" ht="14.25">
      <c r="C18" s="373"/>
      <c r="D18" s="374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T18" s="24"/>
    </row>
    <row r="19" spans="3:23" ht="14.25">
      <c r="C19" s="375"/>
      <c r="D19" s="210"/>
      <c r="E19" s="211"/>
      <c r="F19" s="211"/>
      <c r="G19" s="211"/>
      <c r="H19" s="212"/>
      <c r="I19" s="212"/>
      <c r="J19" s="213"/>
      <c r="K19" s="213"/>
      <c r="L19" s="213"/>
      <c r="M19" s="213"/>
      <c r="N19" s="213"/>
      <c r="O19" s="213"/>
      <c r="P19" s="213"/>
      <c r="Q19" s="213"/>
      <c r="R19" s="213"/>
      <c r="W19" s="232"/>
    </row>
    <row r="20" spans="3:23" ht="14.25">
      <c r="C20" s="375"/>
      <c r="D20" s="210"/>
      <c r="E20" s="211"/>
      <c r="F20" s="211"/>
      <c r="G20" s="211"/>
      <c r="H20" s="212"/>
      <c r="I20" s="212"/>
      <c r="J20" s="213"/>
      <c r="K20" s="213"/>
      <c r="L20" s="213"/>
      <c r="M20" s="213"/>
      <c r="N20" s="213"/>
      <c r="O20" s="213"/>
      <c r="P20" s="213"/>
      <c r="Q20" s="213"/>
      <c r="R20" s="213"/>
    </row>
    <row r="21" spans="3:23" ht="14.25">
      <c r="C21" s="375"/>
      <c r="D21" s="210"/>
      <c r="E21" s="211"/>
      <c r="F21" s="211"/>
      <c r="G21" s="211"/>
      <c r="H21" s="212"/>
      <c r="I21" s="212"/>
      <c r="J21" s="213"/>
      <c r="K21" s="213"/>
      <c r="L21" s="213"/>
      <c r="M21" s="213"/>
      <c r="N21" s="213"/>
      <c r="O21" s="213"/>
      <c r="P21" s="213"/>
      <c r="Q21" s="213"/>
      <c r="R21" s="213"/>
    </row>
    <row r="22" spans="3:23" ht="14.25">
      <c r="C22" s="375"/>
      <c r="D22" s="210"/>
      <c r="E22" s="211"/>
      <c r="F22" s="211"/>
      <c r="G22" s="211"/>
      <c r="H22" s="212"/>
      <c r="I22" s="212"/>
      <c r="J22" s="213"/>
      <c r="K22" s="213"/>
      <c r="L22" s="213"/>
      <c r="M22" s="213"/>
      <c r="N22" s="213"/>
      <c r="O22" s="213"/>
      <c r="P22" s="213"/>
      <c r="Q22" s="213"/>
      <c r="R22" s="213"/>
    </row>
    <row r="23" spans="3:23" ht="14.25">
      <c r="C23" s="375"/>
      <c r="D23" s="210"/>
      <c r="E23" s="211"/>
      <c r="F23" s="211"/>
      <c r="G23" s="211"/>
      <c r="H23" s="212"/>
      <c r="I23" s="212"/>
      <c r="J23" s="213"/>
      <c r="K23" s="213"/>
      <c r="L23" s="213"/>
      <c r="M23" s="213"/>
      <c r="N23" s="213"/>
      <c r="O23" s="213"/>
      <c r="P23" s="213"/>
      <c r="Q23" s="213"/>
      <c r="R23" s="213"/>
    </row>
    <row r="24" spans="3:23" ht="14.25">
      <c r="C24" s="375"/>
      <c r="D24" s="210"/>
      <c r="E24" s="211"/>
      <c r="F24" s="211"/>
      <c r="G24" s="211"/>
      <c r="H24" s="212"/>
      <c r="I24" s="212"/>
      <c r="J24" s="213"/>
      <c r="K24" s="213"/>
      <c r="L24" s="213"/>
      <c r="M24" s="213"/>
      <c r="N24" s="213"/>
      <c r="O24" s="213"/>
      <c r="P24" s="213"/>
      <c r="Q24" s="213"/>
      <c r="R24" s="213"/>
    </row>
    <row r="25" spans="3:23" ht="14.25">
      <c r="C25" s="376"/>
      <c r="D25" s="214"/>
      <c r="E25" s="211"/>
      <c r="F25" s="211"/>
      <c r="G25" s="211"/>
      <c r="H25" s="212"/>
      <c r="I25" s="212"/>
      <c r="J25" s="213"/>
      <c r="K25" s="213"/>
      <c r="L25" s="213"/>
      <c r="M25" s="213"/>
      <c r="N25" s="213"/>
      <c r="O25" s="213"/>
      <c r="P25" s="213"/>
      <c r="Q25" s="213"/>
      <c r="R25" s="213"/>
    </row>
    <row r="26" spans="3:23" ht="14.25">
      <c r="C26" s="376"/>
      <c r="D26" s="214"/>
      <c r="E26" s="211"/>
      <c r="F26" s="211"/>
      <c r="G26" s="211"/>
      <c r="H26" s="212"/>
      <c r="I26" s="212"/>
      <c r="J26" s="213"/>
      <c r="K26" s="213"/>
      <c r="L26" s="213"/>
      <c r="M26" s="213"/>
      <c r="N26" s="213"/>
      <c r="O26" s="213"/>
      <c r="P26" s="213"/>
      <c r="Q26" s="213"/>
      <c r="R26" s="213"/>
    </row>
    <row r="27" spans="3:23" ht="14.25">
      <c r="C27" s="213"/>
      <c r="D27" s="213"/>
      <c r="E27" s="374"/>
      <c r="F27" s="374"/>
      <c r="G27" s="374"/>
      <c r="H27" s="374"/>
      <c r="I27" s="374"/>
      <c r="J27" s="374"/>
      <c r="K27" s="213"/>
      <c r="L27" s="213"/>
      <c r="M27" s="213"/>
      <c r="N27" s="213"/>
      <c r="O27" s="213"/>
      <c r="P27" s="213"/>
      <c r="Q27" s="213"/>
      <c r="R27" s="213"/>
    </row>
    <row r="28" spans="3:23" ht="14.25">
      <c r="D28" s="215"/>
      <c r="E28" s="215"/>
      <c r="F28" s="215"/>
      <c r="G28" s="215"/>
      <c r="H28" s="215"/>
      <c r="I28" s="215"/>
    </row>
    <row r="29" spans="3:23" ht="14.25">
      <c r="D29" s="215"/>
      <c r="E29" s="215"/>
      <c r="F29" s="215"/>
      <c r="G29" s="215"/>
      <c r="H29" s="215"/>
      <c r="I29" s="215"/>
    </row>
    <row r="30" spans="3:23" ht="14.25"/>
    <row r="37" spans="7:7" ht="27.75" customHeight="1">
      <c r="G37" s="201" t="s">
        <v>27</v>
      </c>
    </row>
  </sheetData>
  <mergeCells count="25">
    <mergeCell ref="K5:P5"/>
    <mergeCell ref="Q5:R5"/>
    <mergeCell ref="S5:X5"/>
    <mergeCell ref="Y5:Z5"/>
    <mergeCell ref="P6:P7"/>
    <mergeCell ref="Q6:Q7"/>
    <mergeCell ref="R6:R7"/>
    <mergeCell ref="S6:W6"/>
    <mergeCell ref="X6:X7"/>
    <mergeCell ref="A1:Z1"/>
    <mergeCell ref="A2:Z2"/>
    <mergeCell ref="A4:A7"/>
    <mergeCell ref="B4:B7"/>
    <mergeCell ref="C4:J4"/>
    <mergeCell ref="C5:H5"/>
    <mergeCell ref="I5:J5"/>
    <mergeCell ref="C6:G6"/>
    <mergeCell ref="H6:H7"/>
    <mergeCell ref="I6:I7"/>
    <mergeCell ref="J6:J7"/>
    <mergeCell ref="K6:O6"/>
    <mergeCell ref="K4:R4"/>
    <mergeCell ref="S4:Z4"/>
    <mergeCell ref="Y6:Y7"/>
    <mergeCell ref="Z6:Z7"/>
  </mergeCells>
  <printOptions horizontalCentered="1"/>
  <pageMargins left="0" right="0" top="3.937007874015748E-2" bottom="0" header="1.3385826771653544" footer="0.19685039370078741"/>
  <pageSetup paperSize="9" scale="75" orientation="landscape" r:id="rId1"/>
  <headerFooter alignWithMargins="0">
    <oddFooter>&amp;C&amp;8&amp;Z&amp;F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AC38"/>
  <sheetViews>
    <sheetView zoomScale="90" zoomScaleNormal="90" workbookViewId="0">
      <pane xSplit="1" ySplit="2" topLeftCell="F18" activePane="bottomRight" state="frozen"/>
      <selection pane="topRight" activeCell="B1" sqref="B1"/>
      <selection pane="bottomLeft" activeCell="A3" sqref="A3"/>
      <selection pane="bottomRight" activeCell="S32" sqref="S32"/>
    </sheetView>
  </sheetViews>
  <sheetFormatPr defaultRowHeight="27.75" customHeight="1"/>
  <cols>
    <col min="1" max="1" width="9.7109375" style="201" customWidth="1"/>
    <col min="2" max="2" width="11.5703125" style="201" customWidth="1"/>
    <col min="3" max="7" width="5" style="201" customWidth="1"/>
    <col min="8" max="8" width="8.28515625" style="201" customWidth="1"/>
    <col min="9" max="9" width="6" style="201" customWidth="1"/>
    <col min="10" max="10" width="6.140625" style="201" customWidth="1"/>
    <col min="11" max="11" width="9.85546875" style="201" customWidth="1"/>
    <col min="12" max="12" width="10.140625" style="201" customWidth="1"/>
    <col min="13" max="17" width="5.85546875" style="201" customWidth="1"/>
    <col min="18" max="18" width="6.85546875" style="201" customWidth="1"/>
    <col min="19" max="19" width="9.28515625" style="201" customWidth="1"/>
    <col min="20" max="21" width="6.85546875" style="201" customWidth="1"/>
    <col min="22" max="25" width="6.5703125" style="201" customWidth="1"/>
    <col min="26" max="27" width="7.140625" style="201" customWidth="1"/>
    <col min="28" max="28" width="9.5703125" style="201" customWidth="1"/>
    <col min="29" max="29" width="7.140625" style="201" customWidth="1"/>
    <col min="30" max="16384" width="9.140625" style="201"/>
  </cols>
  <sheetData>
    <row r="1" spans="1:29" ht="22.5" customHeight="1">
      <c r="A1" s="657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</row>
    <row r="2" spans="1:29" ht="22.5" customHeight="1">
      <c r="A2" s="657" t="s">
        <v>0</v>
      </c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</row>
    <row r="3" spans="1:29" ht="21" customHeight="1">
      <c r="A3" s="202" t="s">
        <v>89</v>
      </c>
      <c r="B3" s="202"/>
    </row>
    <row r="4" spans="1:29" s="203" customFormat="1" ht="18" customHeight="1">
      <c r="A4" s="658" t="s">
        <v>13</v>
      </c>
      <c r="B4" s="708" t="s">
        <v>261</v>
      </c>
      <c r="C4" s="664" t="s">
        <v>38</v>
      </c>
      <c r="D4" s="665"/>
      <c r="E4" s="665"/>
      <c r="F4" s="665"/>
      <c r="G4" s="665"/>
      <c r="H4" s="665"/>
      <c r="I4" s="665"/>
      <c r="J4" s="665"/>
      <c r="K4" s="665"/>
      <c r="L4" s="710"/>
      <c r="M4" s="673" t="s">
        <v>39</v>
      </c>
      <c r="N4" s="674"/>
      <c r="O4" s="674"/>
      <c r="P4" s="674"/>
      <c r="Q4" s="674"/>
      <c r="R4" s="674"/>
      <c r="S4" s="674"/>
      <c r="T4" s="674"/>
      <c r="U4" s="674"/>
      <c r="V4" s="674"/>
      <c r="W4" s="674"/>
      <c r="X4" s="674"/>
      <c r="Y4" s="674"/>
      <c r="Z4" s="674"/>
      <c r="AA4" s="674"/>
      <c r="AB4" s="674"/>
      <c r="AC4" s="675"/>
    </row>
    <row r="5" spans="1:29" s="203" customFormat="1" ht="18" customHeight="1">
      <c r="A5" s="659"/>
      <c r="B5" s="708"/>
      <c r="C5" s="711"/>
      <c r="D5" s="712"/>
      <c r="E5" s="712"/>
      <c r="F5" s="712"/>
      <c r="G5" s="712"/>
      <c r="H5" s="712"/>
      <c r="I5" s="712"/>
      <c r="J5" s="712"/>
      <c r="K5" s="712"/>
      <c r="L5" s="713"/>
      <c r="M5" s="673" t="s">
        <v>40</v>
      </c>
      <c r="N5" s="674"/>
      <c r="O5" s="674"/>
      <c r="P5" s="674"/>
      <c r="Q5" s="674"/>
      <c r="R5" s="674"/>
      <c r="S5" s="674"/>
      <c r="T5" s="674"/>
      <c r="U5" s="674"/>
      <c r="V5" s="673" t="s">
        <v>41</v>
      </c>
      <c r="W5" s="674"/>
      <c r="X5" s="674"/>
      <c r="Y5" s="674"/>
      <c r="Z5" s="674"/>
      <c r="AA5" s="674"/>
      <c r="AB5" s="674"/>
      <c r="AC5" s="675"/>
    </row>
    <row r="6" spans="1:29" s="203" customFormat="1" ht="24" customHeight="1">
      <c r="A6" s="659"/>
      <c r="B6" s="708"/>
      <c r="C6" s="666" t="s">
        <v>20</v>
      </c>
      <c r="D6" s="667"/>
      <c r="E6" s="667"/>
      <c r="F6" s="667"/>
      <c r="G6" s="667"/>
      <c r="H6" s="668"/>
      <c r="I6" s="669" t="s">
        <v>23</v>
      </c>
      <c r="J6" s="670"/>
      <c r="K6" s="670"/>
      <c r="L6" s="716"/>
      <c r="M6" s="666" t="s">
        <v>22</v>
      </c>
      <c r="N6" s="667"/>
      <c r="O6" s="667"/>
      <c r="P6" s="667"/>
      <c r="Q6" s="667"/>
      <c r="R6" s="668"/>
      <c r="S6" s="669" t="s">
        <v>23</v>
      </c>
      <c r="T6" s="670"/>
      <c r="U6" s="670"/>
      <c r="V6" s="666" t="s">
        <v>20</v>
      </c>
      <c r="W6" s="667"/>
      <c r="X6" s="667"/>
      <c r="Y6" s="667"/>
      <c r="Z6" s="667"/>
      <c r="AA6" s="668"/>
      <c r="AB6" s="671" t="s">
        <v>23</v>
      </c>
      <c r="AC6" s="672"/>
    </row>
    <row r="7" spans="1:29" s="203" customFormat="1" ht="27" customHeight="1">
      <c r="A7" s="659"/>
      <c r="B7" s="708"/>
      <c r="C7" s="676" t="s">
        <v>1</v>
      </c>
      <c r="D7" s="676"/>
      <c r="E7" s="676"/>
      <c r="F7" s="676"/>
      <c r="G7" s="676"/>
      <c r="H7" s="677" t="s">
        <v>26</v>
      </c>
      <c r="I7" s="679" t="s">
        <v>14</v>
      </c>
      <c r="J7" s="681" t="s">
        <v>25</v>
      </c>
      <c r="K7" s="714" t="s">
        <v>52</v>
      </c>
      <c r="L7" s="715"/>
      <c r="M7" s="676" t="s">
        <v>1</v>
      </c>
      <c r="N7" s="676"/>
      <c r="O7" s="676"/>
      <c r="P7" s="676"/>
      <c r="Q7" s="676"/>
      <c r="R7" s="677" t="s">
        <v>26</v>
      </c>
      <c r="S7" s="686" t="s">
        <v>109</v>
      </c>
      <c r="T7" s="686" t="s">
        <v>33</v>
      </c>
      <c r="U7" s="681" t="s">
        <v>25</v>
      </c>
      <c r="V7" s="676" t="s">
        <v>1</v>
      </c>
      <c r="W7" s="676"/>
      <c r="X7" s="676"/>
      <c r="Y7" s="676"/>
      <c r="Z7" s="676"/>
      <c r="AA7" s="677" t="s">
        <v>26</v>
      </c>
      <c r="AB7" s="686" t="s">
        <v>109</v>
      </c>
      <c r="AC7" s="672" t="s">
        <v>25</v>
      </c>
    </row>
    <row r="8" spans="1:29" s="203" customFormat="1" ht="54.75" customHeight="1">
      <c r="A8" s="660"/>
      <c r="B8" s="709"/>
      <c r="C8" s="204">
        <v>1</v>
      </c>
      <c r="D8" s="204">
        <v>2</v>
      </c>
      <c r="E8" s="204">
        <v>3</v>
      </c>
      <c r="F8" s="204">
        <v>4</v>
      </c>
      <c r="G8" s="204" t="s">
        <v>2</v>
      </c>
      <c r="H8" s="678"/>
      <c r="I8" s="680"/>
      <c r="J8" s="682"/>
      <c r="K8" s="377" t="s">
        <v>53</v>
      </c>
      <c r="L8" s="377" t="s">
        <v>54</v>
      </c>
      <c r="M8" s="204">
        <v>1</v>
      </c>
      <c r="N8" s="204">
        <v>2</v>
      </c>
      <c r="O8" s="204">
        <v>3</v>
      </c>
      <c r="P8" s="204">
        <v>4</v>
      </c>
      <c r="Q8" s="204" t="s">
        <v>2</v>
      </c>
      <c r="R8" s="678"/>
      <c r="S8" s="680"/>
      <c r="T8" s="680"/>
      <c r="U8" s="682"/>
      <c r="V8" s="204">
        <v>1</v>
      </c>
      <c r="W8" s="204">
        <v>2</v>
      </c>
      <c r="X8" s="204">
        <v>3</v>
      </c>
      <c r="Y8" s="204">
        <v>4</v>
      </c>
      <c r="Z8" s="204" t="s">
        <v>2</v>
      </c>
      <c r="AA8" s="678"/>
      <c r="AB8" s="680"/>
      <c r="AC8" s="682"/>
    </row>
    <row r="9" spans="1:29" ht="24" customHeight="1">
      <c r="A9" s="205" t="s">
        <v>6</v>
      </c>
      <c r="B9" s="259">
        <v>2</v>
      </c>
      <c r="C9" s="182">
        <f>0+2+0</f>
        <v>2</v>
      </c>
      <c r="D9" s="182"/>
      <c r="E9" s="182"/>
      <c r="F9" s="182"/>
      <c r="G9" s="182">
        <f>SUM(C9:F9)</f>
        <v>2</v>
      </c>
      <c r="H9" s="183">
        <f>C9</f>
        <v>2</v>
      </c>
      <c r="I9" s="184">
        <v>2</v>
      </c>
      <c r="J9" s="185">
        <f>I9*100/H9</f>
        <v>100</v>
      </c>
      <c r="K9" s="436"/>
      <c r="L9" s="436">
        <v>2</v>
      </c>
      <c r="M9" s="182">
        <f>0+0+2</f>
        <v>2</v>
      </c>
      <c r="N9" s="182"/>
      <c r="O9" s="182"/>
      <c r="P9" s="182"/>
      <c r="Q9" s="182">
        <f>SUM(M9:P9)</f>
        <v>2</v>
      </c>
      <c r="R9" s="183">
        <f>M9</f>
        <v>2</v>
      </c>
      <c r="S9" s="185">
        <v>2</v>
      </c>
      <c r="T9" s="184">
        <v>2</v>
      </c>
      <c r="U9" s="185">
        <f>T9*100/R9</f>
        <v>100</v>
      </c>
      <c r="V9" s="182"/>
      <c r="W9" s="182">
        <f>0+2+0</f>
        <v>2</v>
      </c>
      <c r="X9" s="182"/>
      <c r="Y9" s="182"/>
      <c r="Z9" s="182">
        <f t="shared" ref="Z9:Z15" si="0">SUM(V9:Y9)</f>
        <v>2</v>
      </c>
      <c r="AA9" s="186"/>
      <c r="AB9" s="184"/>
      <c r="AC9" s="185"/>
    </row>
    <row r="10" spans="1:29" ht="24" customHeight="1">
      <c r="A10" s="206" t="s">
        <v>7</v>
      </c>
      <c r="B10" s="260">
        <v>2</v>
      </c>
      <c r="C10" s="187"/>
      <c r="D10" s="187">
        <f>0+2+2</f>
        <v>4</v>
      </c>
      <c r="E10" s="187"/>
      <c r="F10" s="187"/>
      <c r="G10" s="187">
        <f>SUM(C10:F10)</f>
        <v>4</v>
      </c>
      <c r="H10" s="183"/>
      <c r="I10" s="184"/>
      <c r="J10" s="185"/>
      <c r="K10" s="436"/>
      <c r="L10" s="436"/>
      <c r="M10" s="187"/>
      <c r="N10" s="187">
        <f>0+2+2</f>
        <v>4</v>
      </c>
      <c r="O10" s="187"/>
      <c r="P10" s="187"/>
      <c r="Q10" s="187">
        <f>SUM(M10:P10)</f>
        <v>4</v>
      </c>
      <c r="R10" s="183"/>
      <c r="S10" s="185"/>
      <c r="T10" s="184"/>
      <c r="U10" s="185"/>
      <c r="V10" s="187">
        <f>0+2+0</f>
        <v>2</v>
      </c>
      <c r="W10" s="187">
        <f>0+2+0</f>
        <v>2</v>
      </c>
      <c r="X10" s="187"/>
      <c r="Y10" s="187"/>
      <c r="Z10" s="187">
        <f t="shared" si="0"/>
        <v>4</v>
      </c>
      <c r="AA10" s="188">
        <f>V10</f>
        <v>2</v>
      </c>
      <c r="AB10" s="184">
        <v>2</v>
      </c>
      <c r="AC10" s="185">
        <f>AB10*100/AA10</f>
        <v>100</v>
      </c>
    </row>
    <row r="11" spans="1:29" ht="24" customHeight="1">
      <c r="A11" s="206" t="s">
        <v>8</v>
      </c>
      <c r="B11" s="260">
        <v>2</v>
      </c>
      <c r="C11" s="187"/>
      <c r="D11" s="187"/>
      <c r="E11" s="187">
        <f>0+2+0</f>
        <v>2</v>
      </c>
      <c r="F11" s="187"/>
      <c r="G11" s="187">
        <f t="shared" ref="G11:G15" si="1">SUM(C11:F11)</f>
        <v>2</v>
      </c>
      <c r="H11" s="183"/>
      <c r="I11" s="184"/>
      <c r="J11" s="185"/>
      <c r="K11" s="436"/>
      <c r="L11" s="436"/>
      <c r="M11" s="187"/>
      <c r="N11" s="187"/>
      <c r="O11" s="187">
        <f>0+2+0</f>
        <v>2</v>
      </c>
      <c r="P11" s="187"/>
      <c r="Q11" s="187">
        <f t="shared" ref="Q11:Q15" si="2">SUM(M11:P11)</f>
        <v>2</v>
      </c>
      <c r="R11" s="183"/>
      <c r="S11" s="185"/>
      <c r="T11" s="184"/>
      <c r="U11" s="185"/>
      <c r="V11" s="187">
        <f>0+2+0</f>
        <v>2</v>
      </c>
      <c r="W11" s="187"/>
      <c r="X11" s="187"/>
      <c r="Y11" s="187"/>
      <c r="Z11" s="187">
        <f t="shared" si="0"/>
        <v>2</v>
      </c>
      <c r="AA11" s="188">
        <f>V11</f>
        <v>2</v>
      </c>
      <c r="AB11" s="184">
        <v>2</v>
      </c>
      <c r="AC11" s="185">
        <f>AB11*100/AA11</f>
        <v>100</v>
      </c>
    </row>
    <row r="12" spans="1:29" ht="24" customHeight="1">
      <c r="A12" s="207" t="s">
        <v>9</v>
      </c>
      <c r="B12" s="261">
        <v>4</v>
      </c>
      <c r="C12" s="189">
        <f>0+1+0</f>
        <v>1</v>
      </c>
      <c r="D12" s="189">
        <f>1+0+0</f>
        <v>1</v>
      </c>
      <c r="E12" s="189">
        <f>2+0+0</f>
        <v>2</v>
      </c>
      <c r="F12" s="189"/>
      <c r="G12" s="187">
        <f t="shared" si="1"/>
        <v>4</v>
      </c>
      <c r="H12" s="183">
        <f>C12+1</f>
        <v>2</v>
      </c>
      <c r="I12" s="184">
        <v>2</v>
      </c>
      <c r="J12" s="185">
        <f>I12*100/H12</f>
        <v>100</v>
      </c>
      <c r="K12" s="436"/>
      <c r="L12" s="436">
        <v>2</v>
      </c>
      <c r="M12" s="189">
        <f>0+1+0</f>
        <v>1</v>
      </c>
      <c r="N12" s="189">
        <f>1+0+1</f>
        <v>2</v>
      </c>
      <c r="O12" s="189">
        <f>0+1+0</f>
        <v>1</v>
      </c>
      <c r="P12" s="189"/>
      <c r="Q12" s="187">
        <f t="shared" si="2"/>
        <v>4</v>
      </c>
      <c r="R12" s="183">
        <f>0+1+1</f>
        <v>2</v>
      </c>
      <c r="S12" s="185">
        <v>3</v>
      </c>
      <c r="T12" s="184">
        <v>3</v>
      </c>
      <c r="U12" s="185">
        <f>T12*100/R12</f>
        <v>150</v>
      </c>
      <c r="V12" s="189"/>
      <c r="W12" s="189">
        <f>0+4+0</f>
        <v>4</v>
      </c>
      <c r="X12" s="189"/>
      <c r="Y12" s="189"/>
      <c r="Z12" s="187">
        <f t="shared" si="0"/>
        <v>4</v>
      </c>
      <c r="AA12" s="188"/>
      <c r="AB12" s="249">
        <v>2</v>
      </c>
      <c r="AC12" s="185"/>
    </row>
    <row r="13" spans="1:29" ht="24" customHeight="1">
      <c r="A13" s="208" t="s">
        <v>10</v>
      </c>
      <c r="B13" s="262">
        <v>2</v>
      </c>
      <c r="C13" s="190"/>
      <c r="D13" s="190">
        <f>2+0+0</f>
        <v>2</v>
      </c>
      <c r="E13" s="190"/>
      <c r="F13" s="190"/>
      <c r="G13" s="187">
        <f t="shared" si="1"/>
        <v>2</v>
      </c>
      <c r="H13" s="183">
        <f>C13+2</f>
        <v>2</v>
      </c>
      <c r="I13" s="191">
        <v>2</v>
      </c>
      <c r="J13" s="185">
        <f t="shared" ref="J13:J14" si="3">I13*100/H13</f>
        <v>100</v>
      </c>
      <c r="K13" s="437"/>
      <c r="L13" s="437"/>
      <c r="M13" s="193"/>
      <c r="N13" s="193">
        <f>2+0+0</f>
        <v>2</v>
      </c>
      <c r="O13" s="193"/>
      <c r="P13" s="193"/>
      <c r="Q13" s="187">
        <f t="shared" si="2"/>
        <v>2</v>
      </c>
      <c r="R13" s="183">
        <f>M13+2</f>
        <v>2</v>
      </c>
      <c r="S13" s="192">
        <v>2</v>
      </c>
      <c r="T13" s="478">
        <v>2</v>
      </c>
      <c r="U13" s="185">
        <f>T13*100/R13</f>
        <v>100</v>
      </c>
      <c r="V13" s="193"/>
      <c r="W13" s="193">
        <f>1+1+0</f>
        <v>2</v>
      </c>
      <c r="X13" s="193"/>
      <c r="Y13" s="193"/>
      <c r="Z13" s="187">
        <f t="shared" si="0"/>
        <v>2</v>
      </c>
      <c r="AA13" s="188">
        <f>V13+1</f>
        <v>1</v>
      </c>
      <c r="AB13" s="250">
        <v>2</v>
      </c>
      <c r="AC13" s="185">
        <f>AB13*100/AA13</f>
        <v>200</v>
      </c>
    </row>
    <row r="14" spans="1:29" ht="24" customHeight="1">
      <c r="A14" s="208" t="s">
        <v>11</v>
      </c>
      <c r="B14" s="262">
        <v>5</v>
      </c>
      <c r="C14" s="190"/>
      <c r="D14" s="190">
        <f>3+0+2</f>
        <v>5</v>
      </c>
      <c r="E14" s="190">
        <f>0+1+0</f>
        <v>1</v>
      </c>
      <c r="F14" s="190"/>
      <c r="G14" s="187">
        <f t="shared" si="1"/>
        <v>6</v>
      </c>
      <c r="H14" s="183">
        <f>C14+3</f>
        <v>3</v>
      </c>
      <c r="I14" s="191">
        <v>3</v>
      </c>
      <c r="J14" s="185">
        <f t="shared" si="3"/>
        <v>100</v>
      </c>
      <c r="K14" s="438"/>
      <c r="L14" s="438"/>
      <c r="M14" s="193">
        <f>2+0+0</f>
        <v>2</v>
      </c>
      <c r="N14" s="193">
        <f>1+1+0</f>
        <v>2</v>
      </c>
      <c r="O14" s="193">
        <f>1+1+0</f>
        <v>2</v>
      </c>
      <c r="P14" s="193"/>
      <c r="Q14" s="187">
        <f t="shared" si="2"/>
        <v>6</v>
      </c>
      <c r="R14" s="183">
        <f>2+0+1</f>
        <v>3</v>
      </c>
      <c r="S14" s="185">
        <v>3</v>
      </c>
      <c r="T14" s="502">
        <v>2</v>
      </c>
      <c r="U14" s="192">
        <f>T14*100/R14</f>
        <v>66.666666666666671</v>
      </c>
      <c r="V14" s="193">
        <f>0+2+0</f>
        <v>2</v>
      </c>
      <c r="W14" s="193">
        <f>0+1+2</f>
        <v>3</v>
      </c>
      <c r="X14" s="193">
        <f>0+1+0</f>
        <v>1</v>
      </c>
      <c r="Y14" s="193"/>
      <c r="Z14" s="187">
        <f t="shared" si="0"/>
        <v>6</v>
      </c>
      <c r="AA14" s="188">
        <f t="shared" ref="AA14" si="4">V14</f>
        <v>2</v>
      </c>
      <c r="AB14" s="191">
        <v>2</v>
      </c>
      <c r="AC14" s="185">
        <f>AB14*100/AA14</f>
        <v>100</v>
      </c>
    </row>
    <row r="15" spans="1:29" ht="24" customHeight="1">
      <c r="A15" s="209" t="s">
        <v>12</v>
      </c>
      <c r="B15" s="263">
        <v>0</v>
      </c>
      <c r="C15" s="194"/>
      <c r="D15" s="194"/>
      <c r="E15" s="194">
        <f>1+0+0</f>
        <v>1</v>
      </c>
      <c r="F15" s="194"/>
      <c r="G15" s="194">
        <f t="shared" si="1"/>
        <v>1</v>
      </c>
      <c r="H15" s="195"/>
      <c r="I15" s="257"/>
      <c r="J15" s="197"/>
      <c r="K15" s="439"/>
      <c r="L15" s="439"/>
      <c r="M15" s="194"/>
      <c r="N15" s="194">
        <f>1+0+0</f>
        <v>1</v>
      </c>
      <c r="O15" s="194"/>
      <c r="P15" s="194"/>
      <c r="Q15" s="194">
        <f t="shared" si="2"/>
        <v>1</v>
      </c>
      <c r="R15" s="195">
        <f>M15+1</f>
        <v>1</v>
      </c>
      <c r="S15" s="197"/>
      <c r="T15" s="196"/>
      <c r="U15" s="197"/>
      <c r="V15" s="194"/>
      <c r="W15" s="194">
        <f>0+1+0</f>
        <v>1</v>
      </c>
      <c r="X15" s="194"/>
      <c r="Y15" s="194"/>
      <c r="Z15" s="194">
        <f t="shared" si="0"/>
        <v>1</v>
      </c>
      <c r="AA15" s="195"/>
      <c r="AB15" s="196"/>
      <c r="AC15" s="197"/>
    </row>
    <row r="16" spans="1:29" ht="24" customHeight="1">
      <c r="A16" s="42" t="s">
        <v>5</v>
      </c>
      <c r="B16" s="42">
        <f>SUM(B9:B15)</f>
        <v>17</v>
      </c>
      <c r="C16" s="199">
        <f t="shared" ref="C16:G16" si="5">SUM(C9:C15)</f>
        <v>3</v>
      </c>
      <c r="D16" s="199">
        <f t="shared" si="5"/>
        <v>12</v>
      </c>
      <c r="E16" s="199">
        <f t="shared" si="5"/>
        <v>6</v>
      </c>
      <c r="F16" s="199">
        <f t="shared" si="5"/>
        <v>0</v>
      </c>
      <c r="G16" s="199">
        <f t="shared" si="5"/>
        <v>21</v>
      </c>
      <c r="H16" s="199">
        <f>SUM(H9:H15)</f>
        <v>9</v>
      </c>
      <c r="I16" s="200">
        <f>SUM(I9:I15)</f>
        <v>9</v>
      </c>
      <c r="J16" s="200">
        <f t="shared" ref="J16" si="6">I16*100/H16</f>
        <v>100</v>
      </c>
      <c r="K16" s="403">
        <f>SUM(K9:K15)</f>
        <v>0</v>
      </c>
      <c r="L16" s="403">
        <f>SUM(L9:L15)</f>
        <v>4</v>
      </c>
      <c r="M16" s="199">
        <f t="shared" ref="M16:Q16" si="7">SUM(M9:M15)</f>
        <v>5</v>
      </c>
      <c r="N16" s="199">
        <f t="shared" si="7"/>
        <v>11</v>
      </c>
      <c r="O16" s="199">
        <f t="shared" si="7"/>
        <v>5</v>
      </c>
      <c r="P16" s="199">
        <f t="shared" si="7"/>
        <v>0</v>
      </c>
      <c r="Q16" s="199">
        <f t="shared" si="7"/>
        <v>21</v>
      </c>
      <c r="R16" s="199">
        <f>SUM(R9:R15)</f>
        <v>10</v>
      </c>
      <c r="S16" s="200">
        <f>SUM(S9:S15)</f>
        <v>10</v>
      </c>
      <c r="T16" s="200">
        <f>SUM(T9:T15)</f>
        <v>9</v>
      </c>
      <c r="U16" s="200">
        <f>T16*100/R16</f>
        <v>90</v>
      </c>
      <c r="V16" s="199">
        <f t="shared" ref="V16:AA16" si="8">SUM(V9:V15)</f>
        <v>6</v>
      </c>
      <c r="W16" s="199">
        <f t="shared" si="8"/>
        <v>14</v>
      </c>
      <c r="X16" s="199">
        <f t="shared" si="8"/>
        <v>1</v>
      </c>
      <c r="Y16" s="199">
        <f t="shared" si="8"/>
        <v>0</v>
      </c>
      <c r="Z16" s="199">
        <f t="shared" si="8"/>
        <v>21</v>
      </c>
      <c r="AA16" s="199">
        <f t="shared" si="8"/>
        <v>7</v>
      </c>
      <c r="AB16" s="200">
        <f>SUM(AB9:AB15)</f>
        <v>10</v>
      </c>
      <c r="AC16" s="200">
        <f>AB16*100/AA16</f>
        <v>142.85714285714286</v>
      </c>
    </row>
    <row r="17" spans="2:25" ht="9" customHeight="1"/>
    <row r="18" spans="2:25" ht="18.75" customHeight="1" thickBot="1">
      <c r="W18" s="24"/>
    </row>
    <row r="19" spans="2:25" ht="17.25" customHeight="1">
      <c r="B19" s="381" t="s">
        <v>37</v>
      </c>
      <c r="C19" s="382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4"/>
      <c r="V19" s="24"/>
    </row>
    <row r="20" spans="2:25" ht="17.25" customHeight="1">
      <c r="B20" s="379" t="s">
        <v>13</v>
      </c>
      <c r="C20" s="380"/>
      <c r="D20" s="378"/>
      <c r="E20" s="378"/>
      <c r="F20" s="378"/>
      <c r="G20" s="378"/>
      <c r="H20" s="378"/>
      <c r="I20" s="378"/>
      <c r="J20" s="378"/>
      <c r="K20" s="378"/>
      <c r="L20" s="378"/>
      <c r="M20" s="378"/>
      <c r="N20" s="378"/>
      <c r="O20" s="378"/>
      <c r="P20" s="378"/>
      <c r="Q20" s="378"/>
      <c r="R20" s="378"/>
      <c r="S20" s="378"/>
      <c r="T20" s="385"/>
      <c r="V20" s="657" t="s">
        <v>11</v>
      </c>
      <c r="W20" s="657"/>
      <c r="Y20" s="232"/>
    </row>
    <row r="21" spans="2:25" ht="17.25" customHeight="1">
      <c r="B21" s="379"/>
      <c r="C21" s="390" t="s">
        <v>231</v>
      </c>
      <c r="D21" s="378"/>
      <c r="E21" s="378"/>
      <c r="F21" s="378"/>
      <c r="G21" s="378"/>
      <c r="H21" s="378"/>
      <c r="I21" s="378"/>
      <c r="J21" s="378"/>
      <c r="K21" s="378"/>
      <c r="L21" s="378"/>
      <c r="M21" s="378"/>
      <c r="N21" s="378"/>
      <c r="O21" s="378"/>
      <c r="P21" s="378"/>
      <c r="Q21" s="378"/>
      <c r="R21" s="378"/>
      <c r="S21" s="378"/>
      <c r="T21" s="385"/>
      <c r="U21" s="505"/>
      <c r="V21" s="152" t="s">
        <v>287</v>
      </c>
      <c r="W21" s="152"/>
    </row>
    <row r="22" spans="2:25" ht="17.25" customHeight="1">
      <c r="B22" s="379"/>
      <c r="C22" s="390" t="s">
        <v>232</v>
      </c>
      <c r="D22" s="378"/>
      <c r="E22" s="378"/>
      <c r="F22" s="378"/>
      <c r="G22" s="378"/>
      <c r="H22" s="378"/>
      <c r="I22" s="378"/>
      <c r="J22" s="378"/>
      <c r="K22" s="378"/>
      <c r="L22" s="378"/>
      <c r="M22" s="378"/>
      <c r="N22" s="378"/>
      <c r="O22" s="378"/>
      <c r="P22" s="378"/>
      <c r="Q22" s="378"/>
      <c r="R22" s="378"/>
      <c r="S22" s="378"/>
      <c r="T22" s="385"/>
    </row>
    <row r="23" spans="2:25" ht="17.25" customHeight="1">
      <c r="B23" s="379"/>
      <c r="C23" s="390" t="s">
        <v>233</v>
      </c>
      <c r="D23" s="378"/>
      <c r="E23" s="378"/>
      <c r="F23" s="378"/>
      <c r="G23" s="378"/>
      <c r="H23" s="378"/>
      <c r="I23" s="378"/>
      <c r="J23" s="378"/>
      <c r="K23" s="378"/>
      <c r="L23" s="378"/>
      <c r="M23" s="378"/>
      <c r="N23" s="378"/>
      <c r="O23" s="378"/>
      <c r="P23" s="378"/>
      <c r="Q23" s="378"/>
      <c r="R23" s="378"/>
      <c r="S23" s="378"/>
      <c r="T23" s="385"/>
    </row>
    <row r="24" spans="2:25" ht="17.25" customHeight="1">
      <c r="B24" s="379"/>
      <c r="C24" s="390" t="s">
        <v>234</v>
      </c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85"/>
    </row>
    <row r="25" spans="2:25" ht="17.25" customHeight="1">
      <c r="B25" s="379"/>
      <c r="C25" s="380" t="s">
        <v>235</v>
      </c>
      <c r="D25" s="378"/>
      <c r="E25" s="378"/>
      <c r="F25" s="378"/>
      <c r="G25" s="378"/>
      <c r="H25" s="378"/>
      <c r="I25" s="378"/>
      <c r="J25" s="378"/>
      <c r="K25" s="378"/>
      <c r="L25" s="378"/>
      <c r="M25" s="378"/>
      <c r="N25" s="378"/>
      <c r="O25" s="378"/>
      <c r="P25" s="378"/>
      <c r="Q25" s="378"/>
      <c r="R25" s="378"/>
      <c r="S25" s="378"/>
      <c r="T25" s="385"/>
    </row>
    <row r="26" spans="2:25" ht="17.25" customHeight="1">
      <c r="B26" s="379"/>
      <c r="C26" s="380"/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8"/>
      <c r="Q26" s="378"/>
      <c r="R26" s="378"/>
      <c r="S26" s="378"/>
      <c r="T26" s="385"/>
    </row>
    <row r="27" spans="2:25" ht="17.25" customHeight="1">
      <c r="B27" s="379" t="s">
        <v>34</v>
      </c>
      <c r="C27" s="380" t="s">
        <v>236</v>
      </c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85"/>
    </row>
    <row r="28" spans="2:25" ht="17.25" customHeight="1" thickBot="1">
      <c r="B28" s="386"/>
      <c r="C28" s="387"/>
      <c r="D28" s="388"/>
      <c r="E28" s="388"/>
      <c r="F28" s="388"/>
      <c r="G28" s="388"/>
      <c r="H28" s="388"/>
      <c r="I28" s="388"/>
      <c r="J28" s="388"/>
      <c r="K28" s="388"/>
      <c r="L28" s="387"/>
      <c r="M28" s="387"/>
      <c r="N28" s="387"/>
      <c r="O28" s="387"/>
      <c r="P28" s="387"/>
      <c r="Q28" s="387"/>
      <c r="R28" s="387"/>
      <c r="S28" s="387"/>
      <c r="T28" s="389"/>
    </row>
    <row r="29" spans="2:25" ht="14.25">
      <c r="D29" s="215"/>
      <c r="E29" s="215"/>
      <c r="F29" s="215"/>
      <c r="G29" s="215"/>
      <c r="H29" s="215"/>
      <c r="I29" s="215"/>
    </row>
    <row r="30" spans="2:25" ht="14.25">
      <c r="D30" s="215"/>
      <c r="E30" s="215"/>
      <c r="F30" s="215"/>
      <c r="G30" s="215"/>
      <c r="H30" s="215"/>
      <c r="I30" s="215"/>
    </row>
    <row r="31" spans="2:25" ht="14.25"/>
    <row r="38" spans="7:7" ht="27.75" customHeight="1">
      <c r="G38" s="201" t="s">
        <v>27</v>
      </c>
    </row>
  </sheetData>
  <mergeCells count="29">
    <mergeCell ref="V20:W20"/>
    <mergeCell ref="AB7:AB8"/>
    <mergeCell ref="A1:AC1"/>
    <mergeCell ref="A2:AC2"/>
    <mergeCell ref="V5:AC5"/>
    <mergeCell ref="V6:AA6"/>
    <mergeCell ref="AB6:AC6"/>
    <mergeCell ref="M4:AC4"/>
    <mergeCell ref="A4:A8"/>
    <mergeCell ref="C6:H6"/>
    <mergeCell ref="C7:G7"/>
    <mergeCell ref="H7:H8"/>
    <mergeCell ref="I7:I8"/>
    <mergeCell ref="AC7:AC8"/>
    <mergeCell ref="M6:R6"/>
    <mergeCell ref="AA7:AA8"/>
    <mergeCell ref="I6:L6"/>
    <mergeCell ref="B4:B8"/>
    <mergeCell ref="V7:Z7"/>
    <mergeCell ref="U7:U8"/>
    <mergeCell ref="T7:T8"/>
    <mergeCell ref="S6:U6"/>
    <mergeCell ref="M5:U5"/>
    <mergeCell ref="R7:R8"/>
    <mergeCell ref="S7:S8"/>
    <mergeCell ref="M7:Q7"/>
    <mergeCell ref="C4:L5"/>
    <mergeCell ref="K7:L7"/>
    <mergeCell ref="J7:J8"/>
  </mergeCells>
  <printOptions horizontalCentered="1"/>
  <pageMargins left="0" right="0" top="3.937007874015748E-2" bottom="0" header="1.3385826771653544" footer="0.19685039370078741"/>
  <pageSetup paperSize="9" scale="70" orientation="landscape" r:id="rId1"/>
  <headerFooter alignWithMargins="0">
    <oddFooter>&amp;C&amp;8&amp;Z&amp;F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R28"/>
  <sheetViews>
    <sheetView zoomScale="80" zoomScaleNormal="80" workbookViewId="0">
      <selection activeCell="K15" sqref="K15"/>
    </sheetView>
  </sheetViews>
  <sheetFormatPr defaultRowHeight="27.75" customHeight="1"/>
  <cols>
    <col min="1" max="1" width="11.140625" style="201" customWidth="1"/>
    <col min="2" max="5" width="6.85546875" style="201" customWidth="1"/>
    <col min="6" max="7" width="8.42578125" style="201" customWidth="1"/>
    <col min="8" max="8" width="6.5703125" style="201" customWidth="1"/>
    <col min="9" max="9" width="12.85546875" style="201" customWidth="1"/>
    <col min="10" max="13" width="9.28515625" style="201" customWidth="1"/>
    <col min="14" max="14" width="12" style="201" customWidth="1"/>
    <col min="15" max="15" width="15.140625" style="201" customWidth="1"/>
    <col min="16" max="16" width="8.7109375" style="201" customWidth="1"/>
    <col min="17" max="17" width="12.85546875" style="201" customWidth="1"/>
    <col min="18" max="18" width="12" style="201" customWidth="1"/>
    <col min="19" max="16384" width="9.140625" style="201"/>
  </cols>
  <sheetData>
    <row r="1" spans="1:18" ht="24.75" customHeight="1">
      <c r="A1" s="657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</row>
    <row r="2" spans="1:18" ht="24.75" customHeight="1">
      <c r="A2" s="657" t="s">
        <v>0</v>
      </c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</row>
    <row r="3" spans="1:18" ht="28.5" customHeight="1">
      <c r="A3" s="202" t="s">
        <v>73</v>
      </c>
      <c r="B3" s="202"/>
      <c r="C3" s="202"/>
      <c r="D3" s="202"/>
      <c r="E3" s="202"/>
      <c r="F3" s="202"/>
      <c r="G3" s="202"/>
      <c r="H3" s="202"/>
      <c r="I3" s="202"/>
    </row>
    <row r="4" spans="1:18" s="203" customFormat="1" ht="16.5" customHeight="1">
      <c r="A4" s="658" t="s">
        <v>13</v>
      </c>
      <c r="B4" s="664" t="s">
        <v>237</v>
      </c>
      <c r="C4" s="665"/>
      <c r="D4" s="665"/>
      <c r="E4" s="665"/>
      <c r="F4" s="665"/>
      <c r="G4" s="665"/>
      <c r="H4" s="665"/>
      <c r="I4" s="710"/>
      <c r="J4" s="664" t="s">
        <v>238</v>
      </c>
      <c r="K4" s="665"/>
      <c r="L4" s="665"/>
      <c r="M4" s="665"/>
      <c r="N4" s="665"/>
      <c r="O4" s="665"/>
      <c r="P4" s="665"/>
      <c r="Q4" s="665"/>
      <c r="R4" s="710"/>
    </row>
    <row r="5" spans="1:18" s="203" customFormat="1" ht="16.5" customHeight="1">
      <c r="A5" s="659"/>
      <c r="B5" s="711"/>
      <c r="C5" s="712"/>
      <c r="D5" s="712"/>
      <c r="E5" s="712"/>
      <c r="F5" s="712"/>
      <c r="G5" s="712"/>
      <c r="H5" s="712"/>
      <c r="I5" s="713"/>
      <c r="J5" s="711"/>
      <c r="K5" s="712"/>
      <c r="L5" s="712"/>
      <c r="M5" s="712"/>
      <c r="N5" s="712"/>
      <c r="O5" s="712"/>
      <c r="P5" s="712"/>
      <c r="Q5" s="712"/>
      <c r="R5" s="713"/>
    </row>
    <row r="6" spans="1:18" s="203" customFormat="1" ht="27.75" customHeight="1">
      <c r="A6" s="659"/>
      <c r="B6" s="666" t="s">
        <v>20</v>
      </c>
      <c r="C6" s="667"/>
      <c r="D6" s="667"/>
      <c r="E6" s="667"/>
      <c r="F6" s="667"/>
      <c r="G6" s="668"/>
      <c r="H6" s="673" t="s">
        <v>23</v>
      </c>
      <c r="I6" s="675"/>
      <c r="J6" s="666" t="s">
        <v>239</v>
      </c>
      <c r="K6" s="667"/>
      <c r="L6" s="667"/>
      <c r="M6" s="667"/>
      <c r="N6" s="667"/>
      <c r="O6" s="668"/>
      <c r="P6" s="673" t="s">
        <v>23</v>
      </c>
      <c r="Q6" s="674"/>
      <c r="R6" s="675"/>
    </row>
    <row r="7" spans="1:18" s="203" customFormat="1" ht="24" customHeight="1">
      <c r="A7" s="659"/>
      <c r="B7" s="676" t="s">
        <v>1</v>
      </c>
      <c r="C7" s="676"/>
      <c r="D7" s="676"/>
      <c r="E7" s="676"/>
      <c r="F7" s="676"/>
      <c r="G7" s="717" t="s">
        <v>26</v>
      </c>
      <c r="H7" s="686" t="s">
        <v>14</v>
      </c>
      <c r="I7" s="686" t="s">
        <v>108</v>
      </c>
      <c r="J7" s="676" t="s">
        <v>1</v>
      </c>
      <c r="K7" s="676"/>
      <c r="L7" s="676"/>
      <c r="M7" s="676"/>
      <c r="N7" s="676"/>
      <c r="O7" s="717" t="s">
        <v>26</v>
      </c>
      <c r="P7" s="686" t="s">
        <v>240</v>
      </c>
      <c r="Q7" s="686" t="s">
        <v>108</v>
      </c>
      <c r="R7" s="686" t="s">
        <v>241</v>
      </c>
    </row>
    <row r="8" spans="1:18" s="203" customFormat="1" ht="24" customHeight="1">
      <c r="A8" s="660"/>
      <c r="B8" s="204">
        <v>1</v>
      </c>
      <c r="C8" s="204">
        <v>2</v>
      </c>
      <c r="D8" s="204">
        <v>3</v>
      </c>
      <c r="E8" s="204">
        <v>4</v>
      </c>
      <c r="F8" s="204" t="s">
        <v>2</v>
      </c>
      <c r="G8" s="718"/>
      <c r="H8" s="680"/>
      <c r="I8" s="680"/>
      <c r="J8" s="204">
        <v>1</v>
      </c>
      <c r="K8" s="204">
        <v>2</v>
      </c>
      <c r="L8" s="204">
        <v>3</v>
      </c>
      <c r="M8" s="204">
        <v>4</v>
      </c>
      <c r="N8" s="204" t="s">
        <v>2</v>
      </c>
      <c r="O8" s="718"/>
      <c r="P8" s="680"/>
      <c r="Q8" s="680"/>
      <c r="R8" s="680"/>
    </row>
    <row r="9" spans="1:18" ht="22.5" customHeight="1">
      <c r="A9" s="205" t="s">
        <v>6</v>
      </c>
      <c r="B9" s="182"/>
      <c r="C9" s="182"/>
      <c r="D9" s="182"/>
      <c r="E9" s="182"/>
      <c r="F9" s="217">
        <f>SUM(B9:E9)</f>
        <v>0</v>
      </c>
      <c r="G9" s="218"/>
      <c r="H9" s="297"/>
      <c r="I9" s="219"/>
      <c r="J9" s="182"/>
      <c r="K9" s="182"/>
      <c r="L9" s="182">
        <f>0+1+0</f>
        <v>1</v>
      </c>
      <c r="M9" s="182"/>
      <c r="N9" s="217">
        <f>SUM(J9:M9)</f>
        <v>1</v>
      </c>
      <c r="O9" s="218"/>
      <c r="P9" s="297"/>
      <c r="Q9" s="297"/>
      <c r="R9" s="219"/>
    </row>
    <row r="10" spans="1:18" ht="22.5" customHeight="1">
      <c r="A10" s="206" t="s">
        <v>7</v>
      </c>
      <c r="B10" s="187"/>
      <c r="C10" s="187"/>
      <c r="D10" s="187"/>
      <c r="E10" s="187"/>
      <c r="F10" s="220">
        <f>SUM(B10:E10)</f>
        <v>0</v>
      </c>
      <c r="G10" s="221"/>
      <c r="H10" s="184"/>
      <c r="I10" s="185"/>
      <c r="J10" s="187"/>
      <c r="K10" s="187">
        <f>0+0+1</f>
        <v>1</v>
      </c>
      <c r="L10" s="187">
        <f>0+0+1</f>
        <v>1</v>
      </c>
      <c r="M10" s="187"/>
      <c r="N10" s="220">
        <f>SUM(J10:M10)</f>
        <v>2</v>
      </c>
      <c r="O10" s="221"/>
      <c r="P10" s="184"/>
      <c r="Q10" s="184"/>
      <c r="R10" s="185"/>
    </row>
    <row r="11" spans="1:18" ht="22.5" customHeight="1">
      <c r="A11" s="206" t="s">
        <v>8</v>
      </c>
      <c r="B11" s="187"/>
      <c r="C11" s="187"/>
      <c r="D11" s="187"/>
      <c r="E11" s="187"/>
      <c r="F11" s="220">
        <f t="shared" ref="F11:F15" si="0">SUM(B11:E11)</f>
        <v>0</v>
      </c>
      <c r="G11" s="221"/>
      <c r="H11" s="184"/>
      <c r="I11" s="185"/>
      <c r="J11" s="187"/>
      <c r="K11" s="187"/>
      <c r="L11" s="187">
        <f>1+0+0</f>
        <v>1</v>
      </c>
      <c r="M11" s="187"/>
      <c r="N11" s="220">
        <f t="shared" ref="N11:N15" si="1">SUM(J11:M11)</f>
        <v>1</v>
      </c>
      <c r="O11" s="221"/>
      <c r="P11" s="184"/>
      <c r="Q11" s="184"/>
      <c r="R11" s="185"/>
    </row>
    <row r="12" spans="1:18" ht="22.5" customHeight="1">
      <c r="A12" s="207" t="s">
        <v>9</v>
      </c>
      <c r="B12" s="189"/>
      <c r="C12" s="189"/>
      <c r="D12" s="189"/>
      <c r="E12" s="189"/>
      <c r="F12" s="220">
        <f t="shared" si="0"/>
        <v>0</v>
      </c>
      <c r="G12" s="221"/>
      <c r="H12" s="184"/>
      <c r="I12" s="185"/>
      <c r="J12" s="189"/>
      <c r="K12" s="189">
        <f>0+0+1</f>
        <v>1</v>
      </c>
      <c r="L12" s="189"/>
      <c r="M12" s="189"/>
      <c r="N12" s="220">
        <f t="shared" si="1"/>
        <v>1</v>
      </c>
      <c r="O12" s="221"/>
      <c r="P12" s="184"/>
      <c r="Q12" s="184"/>
      <c r="R12" s="185"/>
    </row>
    <row r="13" spans="1:18" ht="22.5" customHeight="1">
      <c r="A13" s="208" t="s">
        <v>10</v>
      </c>
      <c r="B13" s="190"/>
      <c r="C13" s="190"/>
      <c r="D13" s="190"/>
      <c r="E13" s="190"/>
      <c r="F13" s="220">
        <f t="shared" si="0"/>
        <v>0</v>
      </c>
      <c r="G13" s="221"/>
      <c r="H13" s="184"/>
      <c r="I13" s="185"/>
      <c r="J13" s="190"/>
      <c r="K13" s="190"/>
      <c r="L13" s="190">
        <f>0+0+1</f>
        <v>1</v>
      </c>
      <c r="M13" s="190"/>
      <c r="N13" s="220">
        <f t="shared" si="1"/>
        <v>1</v>
      </c>
      <c r="O13" s="221"/>
      <c r="P13" s="184"/>
      <c r="Q13" s="184"/>
      <c r="R13" s="185"/>
    </row>
    <row r="14" spans="1:18" ht="22.5" customHeight="1">
      <c r="A14" s="208" t="s">
        <v>11</v>
      </c>
      <c r="B14" s="190"/>
      <c r="C14" s="190"/>
      <c r="D14" s="190"/>
      <c r="E14" s="190"/>
      <c r="F14" s="220">
        <f t="shared" si="0"/>
        <v>0</v>
      </c>
      <c r="G14" s="221"/>
      <c r="H14" s="269"/>
      <c r="I14" s="185"/>
      <c r="J14" s="190"/>
      <c r="K14" s="190">
        <f>0+2+0</f>
        <v>2</v>
      </c>
      <c r="L14" s="190">
        <f>2+1+2</f>
        <v>5</v>
      </c>
      <c r="M14" s="190"/>
      <c r="N14" s="220">
        <f t="shared" si="1"/>
        <v>7</v>
      </c>
      <c r="O14" s="221"/>
      <c r="P14" s="269"/>
      <c r="Q14" s="269"/>
      <c r="R14" s="185"/>
    </row>
    <row r="15" spans="1:18" ht="22.5" customHeight="1">
      <c r="A15" s="209" t="s">
        <v>12</v>
      </c>
      <c r="B15" s="194"/>
      <c r="C15" s="194"/>
      <c r="D15" s="194"/>
      <c r="E15" s="194">
        <f>1+0+0</f>
        <v>1</v>
      </c>
      <c r="F15" s="222">
        <f t="shared" si="0"/>
        <v>1</v>
      </c>
      <c r="G15" s="194"/>
      <c r="H15" s="196"/>
      <c r="I15" s="197"/>
      <c r="J15" s="194"/>
      <c r="K15" s="194">
        <f>0+0+1</f>
        <v>1</v>
      </c>
      <c r="L15" s="194"/>
      <c r="M15" s="194"/>
      <c r="N15" s="222">
        <f t="shared" si="1"/>
        <v>1</v>
      </c>
      <c r="O15" s="194"/>
      <c r="P15" s="196"/>
      <c r="Q15" s="196"/>
      <c r="R15" s="197"/>
    </row>
    <row r="16" spans="1:18" ht="22.5" customHeight="1">
      <c r="A16" s="42" t="s">
        <v>5</v>
      </c>
      <c r="B16" s="199">
        <f t="shared" ref="B16:F16" si="2">SUM(B9:B15)</f>
        <v>0</v>
      </c>
      <c r="C16" s="199">
        <f t="shared" si="2"/>
        <v>0</v>
      </c>
      <c r="D16" s="199">
        <f t="shared" si="2"/>
        <v>0</v>
      </c>
      <c r="E16" s="199">
        <f t="shared" si="2"/>
        <v>1</v>
      </c>
      <c r="F16" s="199">
        <f t="shared" si="2"/>
        <v>1</v>
      </c>
      <c r="G16" s="223">
        <f>SUM(G9:G15)</f>
        <v>0</v>
      </c>
      <c r="H16" s="200">
        <f>SUM(H9:H15)</f>
        <v>0</v>
      </c>
      <c r="I16" s="200"/>
      <c r="J16" s="199">
        <f t="shared" ref="J16:N16" si="3">SUM(J9:J15)</f>
        <v>0</v>
      </c>
      <c r="K16" s="199">
        <f t="shared" si="3"/>
        <v>5</v>
      </c>
      <c r="L16" s="199">
        <f t="shared" si="3"/>
        <v>9</v>
      </c>
      <c r="M16" s="199">
        <f t="shared" si="3"/>
        <v>0</v>
      </c>
      <c r="N16" s="199">
        <f t="shared" si="3"/>
        <v>14</v>
      </c>
      <c r="O16" s="223">
        <f>SUM(O9:O15)</f>
        <v>0</v>
      </c>
      <c r="P16" s="200">
        <f>SUM(P9:P15)</f>
        <v>0</v>
      </c>
      <c r="Q16" s="200"/>
      <c r="R16" s="200"/>
    </row>
    <row r="17" spans="1:18" ht="16.5" customHeight="1">
      <c r="A17" s="224"/>
      <c r="B17" s="224"/>
      <c r="C17" s="224"/>
      <c r="D17" s="224"/>
      <c r="E17" s="224"/>
      <c r="F17" s="224"/>
      <c r="G17" s="224"/>
      <c r="H17" s="224"/>
      <c r="I17" s="224"/>
      <c r="J17" s="216"/>
      <c r="P17" s="265"/>
      <c r="Q17" s="265"/>
      <c r="R17" s="225"/>
    </row>
    <row r="18" spans="1:18" ht="27.75" customHeight="1" thickBot="1">
      <c r="K18" s="215"/>
      <c r="L18" s="215"/>
      <c r="M18" s="215"/>
      <c r="N18" s="215"/>
      <c r="O18" s="215"/>
      <c r="P18" s="215"/>
      <c r="Q18" s="215"/>
      <c r="R18" s="215"/>
    </row>
    <row r="19" spans="1:18" ht="27.75" customHeight="1">
      <c r="A19" s="401" t="s">
        <v>37</v>
      </c>
      <c r="B19" s="179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253"/>
    </row>
    <row r="20" spans="1:18" ht="27.75" customHeight="1">
      <c r="A20" s="391" t="s">
        <v>34</v>
      </c>
      <c r="B20" s="361" t="s">
        <v>146</v>
      </c>
      <c r="C20" s="353"/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353"/>
      <c r="O20" s="58"/>
      <c r="P20" s="58"/>
      <c r="Q20" s="58"/>
      <c r="R20" s="254"/>
    </row>
    <row r="21" spans="1:18" ht="21.75" customHeight="1">
      <c r="A21" s="391"/>
      <c r="B21" s="361" t="s">
        <v>149</v>
      </c>
      <c r="C21" s="363"/>
      <c r="D21" s="363"/>
      <c r="E21" s="363"/>
      <c r="F21" s="364"/>
      <c r="G21" s="364"/>
      <c r="H21" s="353"/>
      <c r="I21" s="353"/>
      <c r="J21" s="353"/>
      <c r="K21" s="353"/>
      <c r="L21" s="353"/>
      <c r="M21" s="353"/>
      <c r="N21" s="353"/>
      <c r="O21" s="353" t="s">
        <v>147</v>
      </c>
      <c r="P21" s="58"/>
      <c r="Q21" s="58"/>
      <c r="R21" s="254"/>
    </row>
    <row r="22" spans="1:18" ht="21.75" customHeight="1">
      <c r="A22" s="391"/>
      <c r="B22" s="361" t="s">
        <v>148</v>
      </c>
      <c r="C22" s="363" t="s">
        <v>150</v>
      </c>
      <c r="D22" s="363"/>
      <c r="E22" s="363"/>
      <c r="F22" s="364"/>
      <c r="G22" s="364"/>
      <c r="H22" s="353"/>
      <c r="I22" s="353"/>
      <c r="J22" s="353"/>
      <c r="K22" s="353"/>
      <c r="L22" s="353"/>
      <c r="M22" s="353"/>
      <c r="N22" s="353"/>
      <c r="O22" s="353"/>
      <c r="P22" s="58"/>
      <c r="Q22" s="58"/>
      <c r="R22" s="254"/>
    </row>
    <row r="23" spans="1:18" ht="21.75" customHeight="1">
      <c r="A23" s="391"/>
      <c r="B23" s="361" t="s">
        <v>151</v>
      </c>
      <c r="C23" s="363"/>
      <c r="D23" s="363"/>
      <c r="E23" s="363"/>
      <c r="F23" s="364"/>
      <c r="G23" s="364"/>
      <c r="H23" s="353"/>
      <c r="I23" s="353"/>
      <c r="J23" s="353"/>
      <c r="K23" s="353"/>
      <c r="L23" s="353"/>
      <c r="M23" s="353"/>
      <c r="N23" s="353"/>
      <c r="O23" s="353" t="s">
        <v>153</v>
      </c>
      <c r="P23" s="58"/>
      <c r="Q23" s="58"/>
      <c r="R23" s="254"/>
    </row>
    <row r="24" spans="1:18" ht="21.75" customHeight="1">
      <c r="A24" s="391"/>
      <c r="B24" s="361" t="s">
        <v>27</v>
      </c>
      <c r="C24" s="363" t="s">
        <v>152</v>
      </c>
      <c r="D24" s="363"/>
      <c r="E24" s="363"/>
      <c r="F24" s="364"/>
      <c r="G24" s="364"/>
      <c r="H24" s="353"/>
      <c r="I24" s="353"/>
      <c r="J24" s="353"/>
      <c r="K24" s="353"/>
      <c r="L24" s="353"/>
      <c r="M24" s="353"/>
      <c r="N24" s="353"/>
      <c r="O24" s="353" t="s">
        <v>157</v>
      </c>
      <c r="P24" s="58"/>
      <c r="Q24" s="58"/>
      <c r="R24" s="254"/>
    </row>
    <row r="25" spans="1:18" ht="21.75" customHeight="1">
      <c r="A25" s="391"/>
      <c r="B25" s="361"/>
      <c r="C25" s="363"/>
      <c r="D25" s="363"/>
      <c r="E25" s="363"/>
      <c r="F25" s="364"/>
      <c r="G25" s="364"/>
      <c r="H25" s="353"/>
      <c r="I25" s="353"/>
      <c r="J25" s="353"/>
      <c r="K25" s="353"/>
      <c r="L25" s="353"/>
      <c r="M25" s="353"/>
      <c r="N25" s="353"/>
      <c r="O25" s="353"/>
      <c r="P25" s="58"/>
      <c r="Q25" s="58"/>
      <c r="R25" s="254"/>
    </row>
    <row r="26" spans="1:18" ht="21.75" customHeight="1">
      <c r="A26" s="391"/>
      <c r="B26" s="361" t="s">
        <v>155</v>
      </c>
      <c r="C26" s="363"/>
      <c r="D26" s="363"/>
      <c r="E26" s="363"/>
      <c r="F26" s="364"/>
      <c r="G26" s="364"/>
      <c r="H26" s="353"/>
      <c r="I26" s="353"/>
      <c r="J26" s="353"/>
      <c r="K26" s="353"/>
      <c r="L26" s="353"/>
      <c r="M26" s="353"/>
      <c r="N26" s="353"/>
      <c r="O26" s="353" t="s">
        <v>156</v>
      </c>
      <c r="P26" s="58"/>
      <c r="Q26" s="58"/>
      <c r="R26" s="254"/>
    </row>
    <row r="27" spans="1:18" ht="21.75" customHeight="1">
      <c r="A27" s="391"/>
      <c r="B27" s="361"/>
      <c r="C27" s="363" t="s">
        <v>154</v>
      </c>
      <c r="D27" s="363"/>
      <c r="E27" s="363"/>
      <c r="F27" s="364"/>
      <c r="G27" s="364"/>
      <c r="H27" s="353"/>
      <c r="I27" s="353"/>
      <c r="J27" s="353"/>
      <c r="K27" s="353"/>
      <c r="L27" s="353"/>
      <c r="M27" s="353"/>
      <c r="N27" s="353"/>
      <c r="O27" s="353"/>
      <c r="P27" s="58"/>
      <c r="Q27" s="58"/>
      <c r="R27" s="254"/>
    </row>
    <row r="28" spans="1:18" ht="10.5" customHeight="1" thickBot="1">
      <c r="A28" s="181"/>
      <c r="B28" s="61" t="s">
        <v>46</v>
      </c>
      <c r="C28" s="62"/>
      <c r="D28" s="62"/>
      <c r="E28" s="62"/>
      <c r="F28" s="62"/>
      <c r="G28" s="62"/>
      <c r="H28" s="62"/>
      <c r="I28" s="61"/>
      <c r="J28" s="61"/>
      <c r="K28" s="61"/>
      <c r="L28" s="61"/>
      <c r="M28" s="61"/>
      <c r="N28" s="61"/>
      <c r="O28" s="61"/>
      <c r="P28" s="61"/>
      <c r="Q28" s="61"/>
      <c r="R28" s="255"/>
    </row>
  </sheetData>
  <mergeCells count="18">
    <mergeCell ref="I7:I8"/>
    <mergeCell ref="Q7:Q8"/>
    <mergeCell ref="A1:R1"/>
    <mergeCell ref="A2:R2"/>
    <mergeCell ref="A4:A8"/>
    <mergeCell ref="J4:R5"/>
    <mergeCell ref="J6:O6"/>
    <mergeCell ref="P7:P8"/>
    <mergeCell ref="P6:R6"/>
    <mergeCell ref="J7:N7"/>
    <mergeCell ref="O7:O8"/>
    <mergeCell ref="R7:R8"/>
    <mergeCell ref="B4:I5"/>
    <mergeCell ref="B6:G6"/>
    <mergeCell ref="H6:I6"/>
    <mergeCell ref="B7:F7"/>
    <mergeCell ref="G7:G8"/>
    <mergeCell ref="H7:H8"/>
  </mergeCells>
  <printOptions horizontalCentered="1"/>
  <pageMargins left="0" right="0" top="0.19685039370078741" bottom="0" header="1.3385826771653544" footer="0.19685039370078741"/>
  <pageSetup paperSize="9" scale="80" orientation="landscape" r:id="rId1"/>
  <headerFooter alignWithMargins="0">
    <oddFooter>&amp;C&amp;8&amp;Z&amp;F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19"/>
  <sheetViews>
    <sheetView workbookViewId="0">
      <selection activeCell="V13" sqref="V13"/>
    </sheetView>
  </sheetViews>
  <sheetFormatPr defaultRowHeight="27.75" customHeight="1"/>
  <cols>
    <col min="1" max="1" width="17.42578125" style="201" customWidth="1"/>
    <col min="2" max="6" width="9.140625" style="201" customWidth="1"/>
    <col min="7" max="7" width="12.5703125" style="201" customWidth="1"/>
    <col min="8" max="8" width="7.7109375" style="201" customWidth="1"/>
    <col min="9" max="9" width="14.140625" style="201" customWidth="1"/>
    <col min="10" max="10" width="15.42578125" style="201" customWidth="1"/>
    <col min="11" max="11" width="14.85546875" style="201" customWidth="1"/>
    <col min="12" max="12" width="10.85546875" style="201" customWidth="1"/>
    <col min="13" max="13" width="12.42578125" style="201" customWidth="1"/>
    <col min="14" max="16384" width="9.140625" style="201"/>
  </cols>
  <sheetData>
    <row r="1" spans="1:15" ht="24.75" customHeight="1">
      <c r="A1" s="657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</row>
    <row r="2" spans="1:15" ht="24.75" customHeight="1">
      <c r="A2" s="657" t="s">
        <v>0</v>
      </c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</row>
    <row r="3" spans="1:15" ht="28.5" customHeight="1">
      <c r="A3" s="402" t="s">
        <v>242</v>
      </c>
      <c r="B3" s="202"/>
      <c r="C3" s="202"/>
      <c r="D3" s="202"/>
      <c r="E3" s="202"/>
      <c r="F3" s="202"/>
      <c r="G3" s="202"/>
      <c r="H3" s="202"/>
      <c r="I3" s="202"/>
    </row>
    <row r="4" spans="1:15" s="203" customFormat="1" ht="16.5" customHeight="1">
      <c r="A4" s="658" t="s">
        <v>13</v>
      </c>
      <c r="B4" s="664" t="s">
        <v>243</v>
      </c>
      <c r="C4" s="665"/>
      <c r="D4" s="665"/>
      <c r="E4" s="665"/>
      <c r="F4" s="665"/>
      <c r="G4" s="665"/>
      <c r="H4" s="665"/>
      <c r="I4" s="665"/>
      <c r="J4" s="665"/>
      <c r="K4" s="665"/>
      <c r="L4" s="665"/>
      <c r="M4" s="710"/>
    </row>
    <row r="5" spans="1:15" s="203" customFormat="1" ht="16.5" customHeight="1">
      <c r="A5" s="659"/>
      <c r="B5" s="711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3"/>
    </row>
    <row r="6" spans="1:15" s="203" customFormat="1" ht="27.75" customHeight="1">
      <c r="A6" s="659"/>
      <c r="B6" s="726" t="s">
        <v>20</v>
      </c>
      <c r="C6" s="727"/>
      <c r="D6" s="727"/>
      <c r="E6" s="727"/>
      <c r="F6" s="727"/>
      <c r="G6" s="728"/>
      <c r="H6" s="729" t="s">
        <v>23</v>
      </c>
      <c r="I6" s="730"/>
      <c r="J6" s="721" t="s">
        <v>244</v>
      </c>
      <c r="K6" s="721"/>
      <c r="L6" s="722" t="s">
        <v>247</v>
      </c>
      <c r="M6" s="723"/>
    </row>
    <row r="7" spans="1:15" s="203" customFormat="1" ht="24" customHeight="1">
      <c r="A7" s="659"/>
      <c r="B7" s="676" t="s">
        <v>1</v>
      </c>
      <c r="C7" s="676"/>
      <c r="D7" s="676"/>
      <c r="E7" s="676"/>
      <c r="F7" s="676"/>
      <c r="G7" s="717" t="s">
        <v>26</v>
      </c>
      <c r="H7" s="686" t="s">
        <v>14</v>
      </c>
      <c r="I7" s="686" t="s">
        <v>108</v>
      </c>
      <c r="J7" s="719" t="s">
        <v>245</v>
      </c>
      <c r="K7" s="719" t="s">
        <v>246</v>
      </c>
      <c r="L7" s="724" t="s">
        <v>248</v>
      </c>
      <c r="M7" s="724" t="s">
        <v>249</v>
      </c>
    </row>
    <row r="8" spans="1:15" s="203" customFormat="1" ht="24" customHeight="1">
      <c r="A8" s="660"/>
      <c r="B8" s="204">
        <v>1</v>
      </c>
      <c r="C8" s="204">
        <v>2</v>
      </c>
      <c r="D8" s="204">
        <v>3</v>
      </c>
      <c r="E8" s="204">
        <v>4</v>
      </c>
      <c r="F8" s="204" t="s">
        <v>2</v>
      </c>
      <c r="G8" s="718"/>
      <c r="H8" s="680"/>
      <c r="I8" s="680"/>
      <c r="J8" s="720"/>
      <c r="K8" s="720"/>
      <c r="L8" s="725"/>
      <c r="M8" s="725"/>
    </row>
    <row r="9" spans="1:15" ht="22.5" customHeight="1">
      <c r="A9" s="205" t="s">
        <v>6</v>
      </c>
      <c r="B9" s="182"/>
      <c r="C9" s="182"/>
      <c r="D9" s="182"/>
      <c r="E9" s="182"/>
      <c r="F9" s="217"/>
      <c r="G9" s="218"/>
      <c r="H9" s="455"/>
      <c r="I9" s="219"/>
      <c r="J9" s="440"/>
      <c r="K9" s="440"/>
      <c r="L9" s="440"/>
      <c r="M9" s="440"/>
    </row>
    <row r="10" spans="1:15" ht="22.5" customHeight="1">
      <c r="A10" s="206" t="s">
        <v>7</v>
      </c>
      <c r="B10" s="187"/>
      <c r="C10" s="187"/>
      <c r="D10" s="187"/>
      <c r="E10" s="187"/>
      <c r="F10" s="220"/>
      <c r="G10" s="221"/>
      <c r="H10" s="269"/>
      <c r="I10" s="185"/>
      <c r="J10" s="261"/>
      <c r="K10" s="261"/>
      <c r="L10" s="261"/>
      <c r="M10" s="261"/>
    </row>
    <row r="11" spans="1:15" ht="22.5" customHeight="1">
      <c r="A11" s="206" t="s">
        <v>8</v>
      </c>
      <c r="B11" s="187">
        <f>0+0+1</f>
        <v>1</v>
      </c>
      <c r="C11" s="187"/>
      <c r="D11" s="187"/>
      <c r="E11" s="187"/>
      <c r="F11" s="220">
        <f t="shared" ref="F11:F14" si="0">SUM(B11:E11)</f>
        <v>1</v>
      </c>
      <c r="G11" s="221">
        <f>B11</f>
        <v>1</v>
      </c>
      <c r="H11" s="184">
        <v>1</v>
      </c>
      <c r="I11" s="185">
        <f>H11*100/G11</f>
        <v>100</v>
      </c>
      <c r="J11" s="261">
        <v>1</v>
      </c>
      <c r="K11" s="261"/>
      <c r="L11" s="261"/>
      <c r="M11" s="261"/>
    </row>
    <row r="12" spans="1:15" ht="22.5" customHeight="1">
      <c r="A12" s="207" t="s">
        <v>9</v>
      </c>
      <c r="B12" s="189"/>
      <c r="C12" s="189"/>
      <c r="D12" s="189"/>
      <c r="E12" s="189"/>
      <c r="F12" s="220"/>
      <c r="G12" s="221"/>
      <c r="H12" s="269"/>
      <c r="I12" s="185"/>
      <c r="J12" s="261"/>
      <c r="K12" s="261"/>
      <c r="L12" s="261"/>
      <c r="M12" s="261"/>
    </row>
    <row r="13" spans="1:15" ht="22.5" customHeight="1">
      <c r="A13" s="208" t="s">
        <v>10</v>
      </c>
      <c r="B13" s="190">
        <f>0+1+0</f>
        <v>1</v>
      </c>
      <c r="C13" s="190"/>
      <c r="D13" s="190"/>
      <c r="E13" s="190"/>
      <c r="F13" s="220">
        <f>SUM(B13:E13)</f>
        <v>1</v>
      </c>
      <c r="G13" s="221">
        <f>B13</f>
        <v>1</v>
      </c>
      <c r="H13" s="249">
        <v>2</v>
      </c>
      <c r="I13" s="185"/>
      <c r="J13" s="261">
        <v>1</v>
      </c>
      <c r="K13" s="261">
        <v>1</v>
      </c>
      <c r="L13" s="261"/>
      <c r="M13" s="261">
        <v>1</v>
      </c>
      <c r="O13" s="231" t="s">
        <v>262</v>
      </c>
    </row>
    <row r="14" spans="1:15" ht="22.5" customHeight="1">
      <c r="A14" s="208" t="s">
        <v>11</v>
      </c>
      <c r="B14" s="190">
        <f>0+0+2</f>
        <v>2</v>
      </c>
      <c r="C14" s="190">
        <f>0+1+0</f>
        <v>1</v>
      </c>
      <c r="D14" s="190"/>
      <c r="E14" s="190">
        <f>2+0+0</f>
        <v>2</v>
      </c>
      <c r="F14" s="220">
        <f t="shared" si="0"/>
        <v>5</v>
      </c>
      <c r="G14" s="221">
        <f>B14</f>
        <v>2</v>
      </c>
      <c r="H14" s="184">
        <v>2</v>
      </c>
      <c r="I14" s="185">
        <f>H14*100/G14</f>
        <v>100</v>
      </c>
      <c r="J14" s="261">
        <v>2</v>
      </c>
      <c r="K14" s="261"/>
      <c r="L14" s="261"/>
      <c r="M14" s="261"/>
    </row>
    <row r="15" spans="1:15" ht="22.5" customHeight="1">
      <c r="A15" s="209" t="s">
        <v>12</v>
      </c>
      <c r="B15" s="194"/>
      <c r="C15" s="194"/>
      <c r="D15" s="194"/>
      <c r="E15" s="194"/>
      <c r="F15" s="222"/>
      <c r="G15" s="194"/>
      <c r="H15" s="257"/>
      <c r="I15" s="197"/>
      <c r="J15" s="263"/>
      <c r="K15" s="263"/>
      <c r="L15" s="263"/>
      <c r="M15" s="263"/>
    </row>
    <row r="16" spans="1:15" ht="22.5" customHeight="1">
      <c r="A16" s="42" t="s">
        <v>5</v>
      </c>
      <c r="B16" s="199">
        <f t="shared" ref="B16:F16" si="1">SUM(B9:B15)</f>
        <v>4</v>
      </c>
      <c r="C16" s="199">
        <f t="shared" si="1"/>
        <v>1</v>
      </c>
      <c r="D16" s="199">
        <f t="shared" si="1"/>
        <v>0</v>
      </c>
      <c r="E16" s="199">
        <f t="shared" si="1"/>
        <v>2</v>
      </c>
      <c r="F16" s="199">
        <f t="shared" si="1"/>
        <v>7</v>
      </c>
      <c r="G16" s="223">
        <f>SUM(G9:G15)</f>
        <v>4</v>
      </c>
      <c r="H16" s="200">
        <f>SUM(H9:H15)</f>
        <v>5</v>
      </c>
      <c r="I16" s="200">
        <f>H16*100/G16</f>
        <v>125</v>
      </c>
      <c r="J16" s="441">
        <f>SUM(J9:J15)</f>
        <v>4</v>
      </c>
      <c r="K16" s="441">
        <f>SUM(K9:K15)</f>
        <v>1</v>
      </c>
      <c r="L16" s="441"/>
      <c r="M16" s="441">
        <f t="shared" ref="M16" si="2">SUM(M9:M15)</f>
        <v>1</v>
      </c>
    </row>
    <row r="17" spans="1:9" ht="37.5" customHeight="1">
      <c r="A17" s="224"/>
      <c r="B17" s="224"/>
      <c r="C17" s="224"/>
      <c r="D17" s="224"/>
      <c r="E17" s="224"/>
      <c r="F17" s="224"/>
      <c r="G17" s="224"/>
      <c r="H17" s="224"/>
      <c r="I17" s="224"/>
    </row>
    <row r="18" spans="1:9" ht="27.75" customHeight="1">
      <c r="B18" s="201" t="s">
        <v>10</v>
      </c>
      <c r="C18" s="499" t="s">
        <v>272</v>
      </c>
    </row>
    <row r="19" spans="1:9" ht="27.75" customHeight="1">
      <c r="C19" s="24" t="s">
        <v>277</v>
      </c>
    </row>
  </sheetData>
  <mergeCells count="16">
    <mergeCell ref="A1:M1"/>
    <mergeCell ref="A2:M2"/>
    <mergeCell ref="J7:J8"/>
    <mergeCell ref="K7:K8"/>
    <mergeCell ref="J6:K6"/>
    <mergeCell ref="B4:M5"/>
    <mergeCell ref="L6:M6"/>
    <mergeCell ref="L7:L8"/>
    <mergeCell ref="M7:M8"/>
    <mergeCell ref="G7:G8"/>
    <mergeCell ref="H7:H8"/>
    <mergeCell ref="I7:I8"/>
    <mergeCell ref="A4:A8"/>
    <mergeCell ref="B6:G6"/>
    <mergeCell ref="H6:I6"/>
    <mergeCell ref="B7:F7"/>
  </mergeCells>
  <printOptions horizontalCentered="1"/>
  <pageMargins left="0" right="0" top="0.19685039370078741" bottom="0" header="1.3385826771653544" footer="0.19685039370078741"/>
  <pageSetup paperSize="9" scale="95" orientation="landscape" r:id="rId1"/>
  <headerFooter alignWithMargins="0">
    <oddFooter>&amp;C&amp;8&amp;Z&amp;F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>
    <tabColor rgb="FFFF0000"/>
  </sheetPr>
  <dimension ref="A1:AX24"/>
  <sheetViews>
    <sheetView zoomScale="90" zoomScaleNormal="90" workbookViewId="0">
      <selection activeCell="AF18" sqref="AF18"/>
    </sheetView>
  </sheetViews>
  <sheetFormatPr defaultRowHeight="27.75" customHeight="1"/>
  <cols>
    <col min="1" max="1" width="10.85546875" style="1" customWidth="1"/>
    <col min="2" max="2" width="8" style="1" customWidth="1"/>
    <col min="3" max="3" width="4.85546875" style="1" customWidth="1"/>
    <col min="4" max="6" width="4" style="1" customWidth="1"/>
    <col min="7" max="7" width="5.7109375" style="1" customWidth="1"/>
    <col min="8" max="8" width="6.42578125" style="1" customWidth="1"/>
    <col min="9" max="9" width="6.140625" style="1" customWidth="1"/>
    <col min="10" max="10" width="6.42578125" style="1" customWidth="1"/>
    <col min="11" max="12" width="7.28515625" style="1" customWidth="1"/>
    <col min="13" max="13" width="5.85546875" style="1" customWidth="1"/>
    <col min="14" max="15" width="5.140625" style="1" customWidth="1"/>
    <col min="16" max="16" width="5" style="1" customWidth="1"/>
    <col min="17" max="17" width="5.5703125" style="1" customWidth="1"/>
    <col min="18" max="18" width="6" style="1" customWidth="1"/>
    <col min="19" max="19" width="7" style="1" customWidth="1"/>
    <col min="20" max="20" width="5.85546875" style="1" customWidth="1"/>
    <col min="21" max="21" width="5.5703125" style="1" customWidth="1"/>
    <col min="22" max="22" width="10.7109375" style="1" customWidth="1"/>
    <col min="23" max="23" width="9.7109375" style="1" customWidth="1"/>
    <col min="24" max="24" width="5.85546875" style="1" customWidth="1"/>
    <col min="25" max="25" width="7" style="1" customWidth="1"/>
    <col min="26" max="26" width="5.5703125" style="1" customWidth="1"/>
    <col min="27" max="27" width="7" style="1" customWidth="1"/>
    <col min="28" max="28" width="6" style="1" customWidth="1"/>
    <col min="29" max="32" width="4.85546875" style="1" customWidth="1"/>
    <col min="33" max="33" width="6.28515625" style="1" customWidth="1"/>
    <col min="34" max="34" width="7" style="1" customWidth="1"/>
    <col min="35" max="36" width="5.5703125" style="1" customWidth="1"/>
    <col min="37" max="37" width="14.85546875" style="1" hidden="1" customWidth="1"/>
    <col min="38" max="38" width="9.140625" style="3"/>
    <col min="39" max="40" width="6.5703125" style="3" customWidth="1"/>
    <col min="41" max="41" width="7.85546875" style="3" customWidth="1"/>
    <col min="42" max="16384" width="9.140625" style="3"/>
  </cols>
  <sheetData>
    <row r="1" spans="1:42" ht="27" customHeight="1">
      <c r="A1" s="514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  <c r="AE1" s="514"/>
      <c r="AF1" s="514"/>
      <c r="AG1" s="514"/>
      <c r="AH1" s="514"/>
      <c r="AI1" s="514"/>
      <c r="AJ1" s="514"/>
      <c r="AK1" s="514"/>
    </row>
    <row r="2" spans="1:42" ht="27" customHeight="1">
      <c r="A2" s="514" t="s">
        <v>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</row>
    <row r="3" spans="1:42" ht="18.75" customHeight="1">
      <c r="A3" s="23" t="s">
        <v>28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AC3" s="332"/>
    </row>
    <row r="4" spans="1:42" ht="28.5" customHeight="1">
      <c r="A4" s="603" t="s">
        <v>13</v>
      </c>
      <c r="B4" s="565" t="s">
        <v>116</v>
      </c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7"/>
      <c r="AB4" s="606" t="s">
        <v>117</v>
      </c>
      <c r="AC4" s="606"/>
      <c r="AD4" s="606"/>
      <c r="AE4" s="606"/>
      <c r="AF4" s="606"/>
      <c r="AG4" s="606"/>
      <c r="AH4" s="606"/>
      <c r="AI4" s="606"/>
      <c r="AJ4" s="606"/>
    </row>
    <row r="5" spans="1:42" s="83" customFormat="1" ht="32.25" customHeight="1">
      <c r="A5" s="604"/>
      <c r="B5" s="590" t="s">
        <v>110</v>
      </c>
      <c r="C5" s="600" t="s">
        <v>67</v>
      </c>
      <c r="D5" s="601"/>
      <c r="E5" s="601"/>
      <c r="F5" s="601"/>
      <c r="G5" s="601"/>
      <c r="H5" s="601"/>
      <c r="I5" s="601"/>
      <c r="J5" s="601"/>
      <c r="K5" s="595" t="s">
        <v>68</v>
      </c>
      <c r="L5" s="596"/>
      <c r="M5" s="597"/>
      <c r="N5" s="600" t="s">
        <v>252</v>
      </c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1"/>
      <c r="Z5" s="601"/>
      <c r="AA5" s="613"/>
      <c r="AB5" s="590" t="s">
        <v>118</v>
      </c>
      <c r="AC5" s="614" t="s">
        <v>119</v>
      </c>
      <c r="AD5" s="614"/>
      <c r="AE5" s="614"/>
      <c r="AF5" s="614"/>
      <c r="AG5" s="614"/>
      <c r="AH5" s="614"/>
      <c r="AI5" s="614"/>
      <c r="AJ5" s="614"/>
      <c r="AK5" s="333" t="s">
        <v>63</v>
      </c>
    </row>
    <row r="6" spans="1:42" s="83" customFormat="1" ht="30.75" customHeight="1">
      <c r="A6" s="604"/>
      <c r="B6" s="591"/>
      <c r="C6" s="573" t="s">
        <v>4</v>
      </c>
      <c r="D6" s="574"/>
      <c r="E6" s="574"/>
      <c r="F6" s="574"/>
      <c r="G6" s="574"/>
      <c r="H6" s="575"/>
      <c r="I6" s="602" t="s">
        <v>23</v>
      </c>
      <c r="J6" s="578"/>
      <c r="K6" s="598" t="s">
        <v>114</v>
      </c>
      <c r="L6" s="598" t="s">
        <v>115</v>
      </c>
      <c r="M6" s="571" t="s">
        <v>2</v>
      </c>
      <c r="N6" s="583" t="s">
        <v>4</v>
      </c>
      <c r="O6" s="584"/>
      <c r="P6" s="584"/>
      <c r="Q6" s="584"/>
      <c r="R6" s="584"/>
      <c r="S6" s="585"/>
      <c r="T6" s="578" t="s">
        <v>23</v>
      </c>
      <c r="U6" s="579"/>
      <c r="V6" s="579"/>
      <c r="W6" s="580"/>
      <c r="X6" s="608" t="s">
        <v>129</v>
      </c>
      <c r="Y6" s="609"/>
      <c r="Z6" s="609"/>
      <c r="AA6" s="610"/>
      <c r="AB6" s="591"/>
      <c r="AC6" s="615" t="s">
        <v>4</v>
      </c>
      <c r="AD6" s="615"/>
      <c r="AE6" s="615"/>
      <c r="AF6" s="615"/>
      <c r="AG6" s="615"/>
      <c r="AH6" s="615"/>
      <c r="AI6" s="602" t="s">
        <v>23</v>
      </c>
      <c r="AJ6" s="602"/>
      <c r="AK6" s="334" t="s">
        <v>64</v>
      </c>
    </row>
    <row r="7" spans="1:42" s="83" customFormat="1" ht="45.75" customHeight="1">
      <c r="A7" s="604"/>
      <c r="B7" s="591"/>
      <c r="C7" s="573" t="s">
        <v>1</v>
      </c>
      <c r="D7" s="574"/>
      <c r="E7" s="574"/>
      <c r="F7" s="574"/>
      <c r="G7" s="586" t="s">
        <v>2</v>
      </c>
      <c r="H7" s="576" t="s">
        <v>26</v>
      </c>
      <c r="I7" s="607" t="s">
        <v>14</v>
      </c>
      <c r="J7" s="570" t="s">
        <v>134</v>
      </c>
      <c r="K7" s="598"/>
      <c r="L7" s="598"/>
      <c r="M7" s="571"/>
      <c r="N7" s="573" t="s">
        <v>1</v>
      </c>
      <c r="O7" s="574"/>
      <c r="P7" s="574"/>
      <c r="Q7" s="575"/>
      <c r="R7" s="586" t="s">
        <v>2</v>
      </c>
      <c r="S7" s="576" t="s">
        <v>26</v>
      </c>
      <c r="T7" s="593" t="s">
        <v>14</v>
      </c>
      <c r="U7" s="593" t="s">
        <v>134</v>
      </c>
      <c r="V7" s="581" t="s">
        <v>253</v>
      </c>
      <c r="W7" s="581" t="s">
        <v>254</v>
      </c>
      <c r="X7" s="588" t="s">
        <v>130</v>
      </c>
      <c r="Y7" s="588" t="s">
        <v>131</v>
      </c>
      <c r="Z7" s="588" t="s">
        <v>60</v>
      </c>
      <c r="AA7" s="611" t="s">
        <v>133</v>
      </c>
      <c r="AB7" s="591"/>
      <c r="AC7" s="615" t="s">
        <v>1</v>
      </c>
      <c r="AD7" s="615"/>
      <c r="AE7" s="615"/>
      <c r="AF7" s="615"/>
      <c r="AG7" s="586" t="s">
        <v>2</v>
      </c>
      <c r="AH7" s="576" t="s">
        <v>26</v>
      </c>
      <c r="AI7" s="607" t="s">
        <v>14</v>
      </c>
      <c r="AJ7" s="607" t="s">
        <v>134</v>
      </c>
      <c r="AK7" s="568" t="s">
        <v>65</v>
      </c>
    </row>
    <row r="8" spans="1:42" s="83" customFormat="1" ht="29.25" customHeight="1">
      <c r="A8" s="605"/>
      <c r="B8" s="592"/>
      <c r="C8" s="315">
        <v>1</v>
      </c>
      <c r="D8" s="315">
        <v>2</v>
      </c>
      <c r="E8" s="315">
        <v>3</v>
      </c>
      <c r="F8" s="315">
        <v>4</v>
      </c>
      <c r="G8" s="587"/>
      <c r="H8" s="577"/>
      <c r="I8" s="607"/>
      <c r="J8" s="570"/>
      <c r="K8" s="599"/>
      <c r="L8" s="599"/>
      <c r="M8" s="572"/>
      <c r="N8" s="315">
        <v>1</v>
      </c>
      <c r="O8" s="315">
        <v>2</v>
      </c>
      <c r="P8" s="315">
        <v>3</v>
      </c>
      <c r="Q8" s="315">
        <v>4</v>
      </c>
      <c r="R8" s="587"/>
      <c r="S8" s="577"/>
      <c r="T8" s="594"/>
      <c r="U8" s="594"/>
      <c r="V8" s="582"/>
      <c r="W8" s="582"/>
      <c r="X8" s="589"/>
      <c r="Y8" s="589"/>
      <c r="Z8" s="589"/>
      <c r="AA8" s="612"/>
      <c r="AB8" s="592"/>
      <c r="AC8" s="318">
        <v>1</v>
      </c>
      <c r="AD8" s="318">
        <v>2</v>
      </c>
      <c r="AE8" s="318">
        <v>3</v>
      </c>
      <c r="AF8" s="318">
        <v>4</v>
      </c>
      <c r="AG8" s="587"/>
      <c r="AH8" s="577"/>
      <c r="AI8" s="607"/>
      <c r="AJ8" s="607"/>
      <c r="AK8" s="569"/>
    </row>
    <row r="9" spans="1:42" s="87" customFormat="1" ht="24.95" customHeight="1">
      <c r="A9" s="241" t="s">
        <v>6</v>
      </c>
      <c r="B9" s="324">
        <v>5</v>
      </c>
      <c r="C9" s="21">
        <f>5+0+0</f>
        <v>5</v>
      </c>
      <c r="D9" s="21"/>
      <c r="E9" s="21"/>
      <c r="F9" s="21"/>
      <c r="G9" s="21">
        <f>SUM(C9:F9)</f>
        <v>5</v>
      </c>
      <c r="H9" s="21">
        <f>C9</f>
        <v>5</v>
      </c>
      <c r="I9" s="456">
        <v>5</v>
      </c>
      <c r="J9" s="47">
        <f t="shared" ref="J9:J16" si="0">I9*100/H9</f>
        <v>100</v>
      </c>
      <c r="K9" s="458">
        <v>25</v>
      </c>
      <c r="L9" s="458"/>
      <c r="M9" s="324">
        <f>SUM(K9:L9)</f>
        <v>25</v>
      </c>
      <c r="N9" s="21">
        <f>25+0+0</f>
        <v>25</v>
      </c>
      <c r="O9" s="21"/>
      <c r="P9" s="21"/>
      <c r="Q9" s="21"/>
      <c r="R9" s="21">
        <f>SUM(N9:Q9)</f>
        <v>25</v>
      </c>
      <c r="S9" s="21">
        <f>N9</f>
        <v>25</v>
      </c>
      <c r="T9" s="456">
        <v>25</v>
      </c>
      <c r="U9" s="329">
        <f t="shared" ref="U9:U16" si="1">T9*100/S9</f>
        <v>100</v>
      </c>
      <c r="V9" s="407"/>
      <c r="W9" s="463">
        <f>T9+V9</f>
        <v>25</v>
      </c>
      <c r="X9" s="349">
        <v>2</v>
      </c>
      <c r="Y9" s="349"/>
      <c r="Z9" s="349">
        <v>1</v>
      </c>
      <c r="AA9" s="490"/>
      <c r="AB9" s="465">
        <v>4</v>
      </c>
      <c r="AC9" s="19">
        <f>4+0+0</f>
        <v>4</v>
      </c>
      <c r="AD9" s="408"/>
      <c r="AE9" s="409"/>
      <c r="AF9" s="408"/>
      <c r="AG9" s="19">
        <f>SUM(AC9:AF9)</f>
        <v>4</v>
      </c>
      <c r="AH9" s="412">
        <f>AC9</f>
        <v>4</v>
      </c>
      <c r="AI9" s="460">
        <v>4</v>
      </c>
      <c r="AJ9" s="330">
        <f>AI9*100/AH9</f>
        <v>100</v>
      </c>
      <c r="AK9" s="335"/>
      <c r="AL9" s="86"/>
      <c r="AM9" s="461">
        <f>G9+R9+AG9</f>
        <v>34</v>
      </c>
      <c r="AN9" s="461">
        <f>H9+S9+AH9</f>
        <v>34</v>
      </c>
      <c r="AO9" s="461">
        <f>I9+T9+AI9</f>
        <v>34</v>
      </c>
    </row>
    <row r="10" spans="1:42" s="87" customFormat="1" ht="24.95" customHeight="1">
      <c r="A10" s="242" t="s">
        <v>7</v>
      </c>
      <c r="B10" s="325">
        <v>14</v>
      </c>
      <c r="C10" s="17">
        <f>0+14+0</f>
        <v>14</v>
      </c>
      <c r="D10" s="17"/>
      <c r="E10" s="17"/>
      <c r="F10" s="17"/>
      <c r="G10" s="17">
        <f>SUM(C10:F10)</f>
        <v>14</v>
      </c>
      <c r="H10" s="19">
        <f>C10</f>
        <v>14</v>
      </c>
      <c r="I10" s="456">
        <v>14</v>
      </c>
      <c r="J10" s="47">
        <f t="shared" si="0"/>
        <v>100</v>
      </c>
      <c r="K10" s="459">
        <v>21</v>
      </c>
      <c r="L10" s="459">
        <v>9</v>
      </c>
      <c r="M10" s="325">
        <f>SUM(K10:L10)</f>
        <v>30</v>
      </c>
      <c r="N10" s="17">
        <f>0+0+6</f>
        <v>6</v>
      </c>
      <c r="O10" s="17">
        <f>0+0+24</f>
        <v>24</v>
      </c>
      <c r="P10" s="17"/>
      <c r="Q10" s="17"/>
      <c r="R10" s="17">
        <f>SUM(N10:Q10)</f>
        <v>30</v>
      </c>
      <c r="S10" s="19">
        <f>N10</f>
        <v>6</v>
      </c>
      <c r="T10" s="456">
        <v>6</v>
      </c>
      <c r="U10" s="329">
        <f t="shared" si="1"/>
        <v>100</v>
      </c>
      <c r="V10" s="329"/>
      <c r="W10" s="456">
        <f t="shared" ref="W10:W16" si="2">T10+V10</f>
        <v>6</v>
      </c>
      <c r="X10" s="19">
        <v>6</v>
      </c>
      <c r="Y10" s="19"/>
      <c r="Z10" s="19">
        <v>1</v>
      </c>
      <c r="AA10" s="491">
        <v>4</v>
      </c>
      <c r="AB10" s="466"/>
      <c r="AC10" s="19"/>
      <c r="AD10" s="408"/>
      <c r="AE10" s="409"/>
      <c r="AF10" s="408"/>
      <c r="AG10" s="409"/>
      <c r="AH10" s="412"/>
      <c r="AI10" s="460"/>
      <c r="AJ10" s="330"/>
      <c r="AK10" s="336"/>
      <c r="AL10" s="231"/>
      <c r="AM10" s="461">
        <f t="shared" ref="AM10:AM15" si="3">G10+R10+AG10</f>
        <v>44</v>
      </c>
      <c r="AN10" s="461">
        <f t="shared" ref="AN10:AN15" si="4">H10+S10+AH10</f>
        <v>20</v>
      </c>
      <c r="AO10" s="461">
        <f t="shared" ref="AO10:AO15" si="5">I10+T10+AI10</f>
        <v>20</v>
      </c>
    </row>
    <row r="11" spans="1:42" s="87" customFormat="1" ht="24.95" customHeight="1">
      <c r="A11" s="242" t="s">
        <v>8</v>
      </c>
      <c r="B11" s="325">
        <v>32</v>
      </c>
      <c r="C11" s="19">
        <f>0+0+32</f>
        <v>32</v>
      </c>
      <c r="D11" s="17"/>
      <c r="E11" s="17"/>
      <c r="F11" s="17"/>
      <c r="G11" s="19">
        <f t="shared" ref="G11:G15" si="6">SUM(C11:F11)</f>
        <v>32</v>
      </c>
      <c r="H11" s="19">
        <f t="shared" ref="H11:H15" si="7">C11</f>
        <v>32</v>
      </c>
      <c r="I11" s="447">
        <v>31</v>
      </c>
      <c r="J11" s="47">
        <f t="shared" si="0"/>
        <v>96.875</v>
      </c>
      <c r="K11" s="459">
        <v>3</v>
      </c>
      <c r="L11" s="459">
        <v>21</v>
      </c>
      <c r="M11" s="325">
        <f t="shared" ref="M11:M15" si="8">SUM(K11:L11)</f>
        <v>24</v>
      </c>
      <c r="N11" s="17">
        <f>0+9+15</f>
        <v>24</v>
      </c>
      <c r="O11" s="17"/>
      <c r="P11" s="17"/>
      <c r="Q11" s="17"/>
      <c r="R11" s="17">
        <f t="shared" ref="R11:R15" si="9">SUM(N11:Q11)</f>
        <v>24</v>
      </c>
      <c r="S11" s="19">
        <f t="shared" ref="S11:S15" si="10">N11</f>
        <v>24</v>
      </c>
      <c r="T11" s="456">
        <v>24</v>
      </c>
      <c r="U11" s="329">
        <f t="shared" si="1"/>
        <v>100</v>
      </c>
      <c r="V11" s="329">
        <v>4</v>
      </c>
      <c r="W11" s="456">
        <f t="shared" si="2"/>
        <v>28</v>
      </c>
      <c r="X11" s="19">
        <v>20</v>
      </c>
      <c r="Y11" s="19">
        <v>4</v>
      </c>
      <c r="Z11" s="19">
        <v>1</v>
      </c>
      <c r="AA11" s="491">
        <v>8</v>
      </c>
      <c r="AB11" s="466">
        <v>2</v>
      </c>
      <c r="AC11" s="19">
        <f>0+1+1</f>
        <v>2</v>
      </c>
      <c r="AD11" s="408"/>
      <c r="AE11" s="409"/>
      <c r="AF11" s="408"/>
      <c r="AG11" s="19">
        <f>SUM(AC11:AF11)</f>
        <v>2</v>
      </c>
      <c r="AH11" s="412">
        <f>AC11</f>
        <v>2</v>
      </c>
      <c r="AI11" s="460">
        <v>2</v>
      </c>
      <c r="AJ11" s="330">
        <f>AI11*100/AH11</f>
        <v>100</v>
      </c>
      <c r="AK11" s="337"/>
      <c r="AL11" s="86"/>
      <c r="AM11" s="461">
        <f t="shared" si="3"/>
        <v>58</v>
      </c>
      <c r="AN11" s="461">
        <f t="shared" si="4"/>
        <v>58</v>
      </c>
      <c r="AO11" s="485">
        <f t="shared" si="5"/>
        <v>57</v>
      </c>
      <c r="AP11" s="87" t="s">
        <v>282</v>
      </c>
    </row>
    <row r="12" spans="1:42" s="87" customFormat="1" ht="24.95" customHeight="1">
      <c r="A12" s="242" t="s">
        <v>9</v>
      </c>
      <c r="B12" s="325">
        <v>6</v>
      </c>
      <c r="C12" s="17">
        <f>0+6+0</f>
        <v>6</v>
      </c>
      <c r="D12" s="17"/>
      <c r="E12" s="17"/>
      <c r="F12" s="17"/>
      <c r="G12" s="17">
        <f t="shared" si="6"/>
        <v>6</v>
      </c>
      <c r="H12" s="19">
        <f t="shared" si="7"/>
        <v>6</v>
      </c>
      <c r="I12" s="456">
        <v>6</v>
      </c>
      <c r="J12" s="47">
        <f t="shared" si="0"/>
        <v>100</v>
      </c>
      <c r="K12" s="459">
        <v>56</v>
      </c>
      <c r="L12" s="459">
        <v>13</v>
      </c>
      <c r="M12" s="325">
        <f t="shared" si="8"/>
        <v>69</v>
      </c>
      <c r="N12" s="17">
        <f>2+29+38</f>
        <v>69</v>
      </c>
      <c r="O12" s="17"/>
      <c r="P12" s="17"/>
      <c r="Q12" s="17"/>
      <c r="R12" s="17">
        <f t="shared" si="9"/>
        <v>69</v>
      </c>
      <c r="S12" s="19">
        <f t="shared" si="10"/>
        <v>69</v>
      </c>
      <c r="T12" s="456">
        <v>69</v>
      </c>
      <c r="U12" s="406">
        <f t="shared" si="1"/>
        <v>100</v>
      </c>
      <c r="V12" s="406"/>
      <c r="W12" s="464">
        <f t="shared" si="2"/>
        <v>69</v>
      </c>
      <c r="X12" s="19">
        <v>60</v>
      </c>
      <c r="Y12" s="19">
        <v>2</v>
      </c>
      <c r="Z12" s="19">
        <v>3</v>
      </c>
      <c r="AA12" s="491">
        <v>6</v>
      </c>
      <c r="AB12" s="466">
        <v>4</v>
      </c>
      <c r="AC12" s="19">
        <f>0+3+1</f>
        <v>4</v>
      </c>
      <c r="AD12" s="408"/>
      <c r="AE12" s="409"/>
      <c r="AF12" s="408"/>
      <c r="AG12" s="19">
        <f t="shared" ref="AG12:AG14" si="11">SUM(AC12:AF12)</f>
        <v>4</v>
      </c>
      <c r="AH12" s="412">
        <f t="shared" ref="AH12:AH14" si="12">AC12</f>
        <v>4</v>
      </c>
      <c r="AI12" s="460">
        <v>4</v>
      </c>
      <c r="AJ12" s="330">
        <f>AI12*100/AH12</f>
        <v>100</v>
      </c>
      <c r="AK12" s="336"/>
      <c r="AL12" s="291"/>
      <c r="AM12" s="461">
        <f t="shared" si="3"/>
        <v>79</v>
      </c>
      <c r="AN12" s="461">
        <f t="shared" si="4"/>
        <v>79</v>
      </c>
      <c r="AO12" s="461">
        <v>79</v>
      </c>
    </row>
    <row r="13" spans="1:42" s="87" customFormat="1" ht="24.95" customHeight="1">
      <c r="A13" s="242" t="s">
        <v>10</v>
      </c>
      <c r="B13" s="325">
        <v>13</v>
      </c>
      <c r="C13" s="17">
        <f>0+13+0</f>
        <v>13</v>
      </c>
      <c r="D13" s="17"/>
      <c r="E13" s="17"/>
      <c r="F13" s="17"/>
      <c r="G13" s="17">
        <f t="shared" si="6"/>
        <v>13</v>
      </c>
      <c r="H13" s="19">
        <f t="shared" si="7"/>
        <v>13</v>
      </c>
      <c r="I13" s="456">
        <v>13</v>
      </c>
      <c r="J13" s="47">
        <f t="shared" si="0"/>
        <v>100</v>
      </c>
      <c r="K13" s="459">
        <v>21</v>
      </c>
      <c r="L13" s="459">
        <v>8</v>
      </c>
      <c r="M13" s="325">
        <f t="shared" si="8"/>
        <v>29</v>
      </c>
      <c r="N13" s="17">
        <f>0+1+1</f>
        <v>2</v>
      </c>
      <c r="O13" s="17">
        <f>10+11+6</f>
        <v>27</v>
      </c>
      <c r="P13" s="17"/>
      <c r="Q13" s="17"/>
      <c r="R13" s="17">
        <f>SUM(N13:Q13)</f>
        <v>29</v>
      </c>
      <c r="S13" s="19">
        <f>N13+10</f>
        <v>12</v>
      </c>
      <c r="T13" s="507">
        <v>13</v>
      </c>
      <c r="U13" s="406">
        <f t="shared" si="1"/>
        <v>108.33333333333333</v>
      </c>
      <c r="V13" s="329">
        <v>1</v>
      </c>
      <c r="W13" s="456">
        <f t="shared" si="2"/>
        <v>14</v>
      </c>
      <c r="X13" s="19">
        <v>11</v>
      </c>
      <c r="Y13" s="19">
        <v>3</v>
      </c>
      <c r="Z13" s="19"/>
      <c r="AA13" s="491">
        <v>7</v>
      </c>
      <c r="AB13" s="466">
        <v>3</v>
      </c>
      <c r="AC13" s="19">
        <f>0+0+3</f>
        <v>3</v>
      </c>
      <c r="AD13" s="408"/>
      <c r="AE13" s="409"/>
      <c r="AF13" s="408"/>
      <c r="AG13" s="19">
        <f t="shared" si="11"/>
        <v>3</v>
      </c>
      <c r="AH13" s="412">
        <f t="shared" si="12"/>
        <v>3</v>
      </c>
      <c r="AI13" s="460">
        <v>3</v>
      </c>
      <c r="AJ13" s="330">
        <f t="shared" ref="AJ13:AJ14" si="13">AI13*100/AH13</f>
        <v>100</v>
      </c>
      <c r="AK13" s="336"/>
      <c r="AL13" s="291"/>
      <c r="AM13" s="461">
        <f t="shared" si="3"/>
        <v>45</v>
      </c>
      <c r="AN13" s="461">
        <f t="shared" si="4"/>
        <v>28</v>
      </c>
      <c r="AO13" s="485">
        <f t="shared" si="5"/>
        <v>29</v>
      </c>
      <c r="AP13" s="87" t="s">
        <v>283</v>
      </c>
    </row>
    <row r="14" spans="1:42" s="87" customFormat="1" ht="24.95" customHeight="1">
      <c r="A14" s="242" t="s">
        <v>11</v>
      </c>
      <c r="B14" s="325">
        <v>12</v>
      </c>
      <c r="C14" s="18">
        <f>0+4+8</f>
        <v>12</v>
      </c>
      <c r="D14" s="18"/>
      <c r="E14" s="18"/>
      <c r="F14" s="18"/>
      <c r="G14" s="17">
        <f t="shared" si="6"/>
        <v>12</v>
      </c>
      <c r="H14" s="19">
        <f t="shared" si="7"/>
        <v>12</v>
      </c>
      <c r="I14" s="457">
        <v>12</v>
      </c>
      <c r="J14" s="47">
        <f t="shared" si="0"/>
        <v>100</v>
      </c>
      <c r="K14" s="459">
        <v>45</v>
      </c>
      <c r="L14" s="459">
        <v>11</v>
      </c>
      <c r="M14" s="325">
        <f t="shared" si="8"/>
        <v>56</v>
      </c>
      <c r="N14" s="18">
        <f>7+21+24</f>
        <v>52</v>
      </c>
      <c r="O14" s="18">
        <f>2+2+0</f>
        <v>4</v>
      </c>
      <c r="P14" s="18"/>
      <c r="Q14" s="18"/>
      <c r="R14" s="17">
        <f>SUM(N14:Q14)</f>
        <v>56</v>
      </c>
      <c r="S14" s="19">
        <f>N14+2</f>
        <v>54</v>
      </c>
      <c r="T14" s="462">
        <v>53</v>
      </c>
      <c r="U14" s="40">
        <f t="shared" si="1"/>
        <v>98.148148148148152</v>
      </c>
      <c r="V14" s="40">
        <v>2</v>
      </c>
      <c r="W14" s="457">
        <f t="shared" si="2"/>
        <v>55</v>
      </c>
      <c r="X14" s="19">
        <v>34</v>
      </c>
      <c r="Y14" s="19">
        <v>3</v>
      </c>
      <c r="Z14" s="19">
        <v>1</v>
      </c>
      <c r="AA14" s="491">
        <v>3</v>
      </c>
      <c r="AB14" s="466">
        <v>2</v>
      </c>
      <c r="AC14" s="19">
        <f>0+0+2</f>
        <v>2</v>
      </c>
      <c r="AD14" s="408"/>
      <c r="AE14" s="409"/>
      <c r="AF14" s="408"/>
      <c r="AG14" s="19">
        <f t="shared" si="11"/>
        <v>2</v>
      </c>
      <c r="AH14" s="412">
        <f t="shared" si="12"/>
        <v>2</v>
      </c>
      <c r="AI14" s="460">
        <v>2</v>
      </c>
      <c r="AJ14" s="330">
        <f t="shared" si="13"/>
        <v>100</v>
      </c>
      <c r="AK14" s="336"/>
      <c r="AL14" s="231"/>
      <c r="AM14" s="461">
        <f t="shared" si="3"/>
        <v>70</v>
      </c>
      <c r="AN14" s="461">
        <f t="shared" si="4"/>
        <v>68</v>
      </c>
      <c r="AO14" s="485">
        <f t="shared" si="5"/>
        <v>67</v>
      </c>
      <c r="AP14" s="87" t="s">
        <v>284</v>
      </c>
    </row>
    <row r="15" spans="1:42" s="87" customFormat="1" ht="24.95" customHeight="1">
      <c r="A15" s="243" t="s">
        <v>12</v>
      </c>
      <c r="B15" s="326">
        <v>21</v>
      </c>
      <c r="C15" s="41">
        <f>2+9+10</f>
        <v>21</v>
      </c>
      <c r="D15" s="41"/>
      <c r="E15" s="41"/>
      <c r="F15" s="41"/>
      <c r="G15" s="17">
        <f t="shared" si="6"/>
        <v>21</v>
      </c>
      <c r="H15" s="20">
        <f t="shared" si="7"/>
        <v>21</v>
      </c>
      <c r="I15" s="484">
        <v>21</v>
      </c>
      <c r="J15" s="47">
        <f t="shared" si="0"/>
        <v>100</v>
      </c>
      <c r="K15" s="459">
        <v>6</v>
      </c>
      <c r="L15" s="459"/>
      <c r="M15" s="325">
        <f t="shared" si="8"/>
        <v>6</v>
      </c>
      <c r="N15" s="41">
        <f>2+2+2</f>
        <v>6</v>
      </c>
      <c r="O15" s="41"/>
      <c r="P15" s="41"/>
      <c r="Q15" s="41"/>
      <c r="R15" s="17">
        <f t="shared" si="9"/>
        <v>6</v>
      </c>
      <c r="S15" s="20">
        <f t="shared" si="10"/>
        <v>6</v>
      </c>
      <c r="T15" s="484">
        <v>6</v>
      </c>
      <c r="U15" s="407">
        <f t="shared" si="1"/>
        <v>100</v>
      </c>
      <c r="V15" s="407">
        <v>21</v>
      </c>
      <c r="W15" s="463">
        <f t="shared" si="2"/>
        <v>27</v>
      </c>
      <c r="X15" s="350">
        <v>27</v>
      </c>
      <c r="Y15" s="350"/>
      <c r="Z15" s="350"/>
      <c r="AA15" s="492">
        <v>2</v>
      </c>
      <c r="AB15" s="467"/>
      <c r="AC15" s="350"/>
      <c r="AD15" s="410"/>
      <c r="AE15" s="411"/>
      <c r="AF15" s="410"/>
      <c r="AG15" s="350"/>
      <c r="AH15" s="413"/>
      <c r="AI15" s="456"/>
      <c r="AJ15" s="329"/>
      <c r="AK15" s="338"/>
      <c r="AL15" s="231"/>
      <c r="AM15" s="461">
        <f t="shared" si="3"/>
        <v>27</v>
      </c>
      <c r="AN15" s="461">
        <f t="shared" si="4"/>
        <v>27</v>
      </c>
      <c r="AO15" s="461">
        <f t="shared" si="5"/>
        <v>27</v>
      </c>
    </row>
    <row r="16" spans="1:42" s="87" customFormat="1" ht="24.95" customHeight="1">
      <c r="A16" s="90" t="s">
        <v>5</v>
      </c>
      <c r="B16" s="327">
        <f t="shared" ref="B16" si="14">SUM(B9:B15)</f>
        <v>103</v>
      </c>
      <c r="C16" s="68">
        <f t="shared" ref="C16:F16" si="15">SUM(C9:C15)</f>
        <v>103</v>
      </c>
      <c r="D16" s="68">
        <f t="shared" si="15"/>
        <v>0</v>
      </c>
      <c r="E16" s="68">
        <f t="shared" si="15"/>
        <v>0</v>
      </c>
      <c r="F16" s="68">
        <f t="shared" si="15"/>
        <v>0</v>
      </c>
      <c r="G16" s="91">
        <f>SUM(G9:G15)</f>
        <v>103</v>
      </c>
      <c r="H16" s="35">
        <f t="shared" ref="H16" si="16">SUM(H9:H15)</f>
        <v>103</v>
      </c>
      <c r="I16" s="331">
        <f>SUM(I9:I15)</f>
        <v>102</v>
      </c>
      <c r="J16" s="92">
        <f t="shared" si="0"/>
        <v>99.029126213592235</v>
      </c>
      <c r="K16" s="327">
        <f t="shared" ref="K16" si="17">SUM(K9:K15)</f>
        <v>177</v>
      </c>
      <c r="L16" s="327">
        <f t="shared" ref="L16" si="18">SUM(L9:L15)</f>
        <v>62</v>
      </c>
      <c r="M16" s="327">
        <f t="shared" ref="M16" si="19">SUM(M9:M15)</f>
        <v>239</v>
      </c>
      <c r="N16" s="68">
        <f t="shared" ref="N16:Q16" si="20">SUM(N9:N15)</f>
        <v>184</v>
      </c>
      <c r="O16" s="68">
        <f t="shared" si="20"/>
        <v>55</v>
      </c>
      <c r="P16" s="68">
        <f t="shared" si="20"/>
        <v>0</v>
      </c>
      <c r="Q16" s="68">
        <f t="shared" si="20"/>
        <v>0</v>
      </c>
      <c r="R16" s="91">
        <f>SUM(R9:R15)</f>
        <v>239</v>
      </c>
      <c r="S16" s="35">
        <f>SUM(S9:S15)</f>
        <v>196</v>
      </c>
      <c r="T16" s="331">
        <f>SUM(T9:T15)</f>
        <v>196</v>
      </c>
      <c r="U16" s="93">
        <f t="shared" si="1"/>
        <v>100</v>
      </c>
      <c r="V16" s="93">
        <f>SUM(V9:V15)</f>
        <v>28</v>
      </c>
      <c r="W16" s="93">
        <f t="shared" si="2"/>
        <v>224</v>
      </c>
      <c r="X16" s="68">
        <f>SUM(X9:X15)</f>
        <v>160</v>
      </c>
      <c r="Y16" s="68">
        <f t="shared" ref="Y16:AA16" si="21">SUM(Y9:Y15)</f>
        <v>12</v>
      </c>
      <c r="Z16" s="68">
        <f t="shared" si="21"/>
        <v>7</v>
      </c>
      <c r="AA16" s="493">
        <f t="shared" si="21"/>
        <v>30</v>
      </c>
      <c r="AB16" s="468">
        <f>SUM(AB9:AB15)</f>
        <v>15</v>
      </c>
      <c r="AC16" s="68">
        <f>SUM(AC9:AC15)</f>
        <v>15</v>
      </c>
      <c r="AD16" s="415"/>
      <c r="AE16" s="415"/>
      <c r="AF16" s="415"/>
      <c r="AG16" s="68">
        <f>SUM(AG9:AG15)</f>
        <v>15</v>
      </c>
      <c r="AH16" s="414">
        <f>SUM(AH9:AH15)</f>
        <v>15</v>
      </c>
      <c r="AI16" s="93">
        <f>SUM(AI9:AI15)</f>
        <v>15</v>
      </c>
      <c r="AJ16" s="93">
        <f>AI16*100/AH16</f>
        <v>100</v>
      </c>
      <c r="AK16" s="339">
        <f t="shared" ref="AK16" si="22">SUM(AK9:AK15)</f>
        <v>0</v>
      </c>
      <c r="AL16" s="86"/>
      <c r="AM16" s="461">
        <f>SUM(AM9:AM15)</f>
        <v>357</v>
      </c>
      <c r="AN16" s="461">
        <f>SUM(AN9:AN15)</f>
        <v>314</v>
      </c>
      <c r="AO16" s="461">
        <f>SUM(AO9:AO15)</f>
        <v>313</v>
      </c>
    </row>
    <row r="17" spans="1:50" s="31" customFormat="1" ht="27.75" customHeight="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7"/>
      <c r="O17" s="28"/>
      <c r="P17" s="28"/>
      <c r="Q17" s="28"/>
      <c r="R17" s="28"/>
      <c r="S17" s="27"/>
      <c r="T17" s="27"/>
      <c r="U17" s="27"/>
      <c r="V17" s="433"/>
      <c r="W17" s="433"/>
      <c r="X17" s="46"/>
      <c r="Y17" s="46"/>
      <c r="Z17" s="46"/>
      <c r="AA17" s="46"/>
      <c r="AB17" s="46"/>
      <c r="AC17" s="46"/>
      <c r="AD17" s="46"/>
      <c r="AE17" s="46"/>
      <c r="AF17" s="46"/>
      <c r="AG17" s="29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</row>
    <row r="18" spans="1:50" ht="21" customHeight="1">
      <c r="B18" s="23" t="s">
        <v>269</v>
      </c>
      <c r="N18" s="23" t="s">
        <v>264</v>
      </c>
      <c r="U18" s="417"/>
      <c r="V18" s="417"/>
      <c r="W18" s="417"/>
      <c r="AC18" s="23"/>
      <c r="AK18" s="48"/>
    </row>
    <row r="19" spans="1:50" ht="21" customHeight="1">
      <c r="B19" s="481" t="s">
        <v>8</v>
      </c>
      <c r="C19" s="24" t="s">
        <v>95</v>
      </c>
      <c r="D19" s="25"/>
      <c r="E19" s="25"/>
      <c r="F19" s="25"/>
      <c r="G19" s="25"/>
      <c r="N19" s="514" t="s">
        <v>11</v>
      </c>
      <c r="O19" s="514"/>
      <c r="P19" s="24" t="s">
        <v>265</v>
      </c>
      <c r="Q19" s="432"/>
      <c r="R19" s="432"/>
      <c r="S19" s="432"/>
      <c r="T19" s="432"/>
      <c r="U19" s="432"/>
      <c r="V19" s="432"/>
      <c r="W19" s="432"/>
      <c r="X19" s="432"/>
      <c r="AC19" s="24"/>
      <c r="AD19" s="24"/>
      <c r="AE19" s="24"/>
      <c r="AF19" s="24"/>
      <c r="AG19" s="24"/>
      <c r="AH19" s="24"/>
      <c r="AK19" s="48"/>
    </row>
    <row r="20" spans="1:50" ht="21" customHeight="1">
      <c r="B20" s="25"/>
      <c r="C20" s="152" t="s">
        <v>270</v>
      </c>
      <c r="D20" s="25"/>
      <c r="E20" s="25"/>
      <c r="F20" s="25"/>
      <c r="G20" s="25"/>
      <c r="N20" s="514" t="s">
        <v>10</v>
      </c>
      <c r="O20" s="514"/>
      <c r="P20" s="231" t="s">
        <v>288</v>
      </c>
      <c r="AC20" s="24"/>
      <c r="AD20" s="24"/>
      <c r="AE20" s="24"/>
      <c r="AF20" s="24"/>
      <c r="AG20" s="24"/>
      <c r="AH20" s="24"/>
      <c r="AK20" s="49"/>
    </row>
    <row r="21" spans="1:50" ht="19.5" customHeight="1">
      <c r="B21" s="25"/>
      <c r="C21" s="24" t="s">
        <v>271</v>
      </c>
      <c r="D21" s="25"/>
      <c r="E21" s="25"/>
      <c r="F21" s="25"/>
      <c r="G21" s="25"/>
      <c r="P21" s="152" t="s">
        <v>281</v>
      </c>
      <c r="AC21" s="24"/>
      <c r="AD21" s="24"/>
      <c r="AE21" s="24"/>
      <c r="AF21" s="24"/>
      <c r="AG21" s="24"/>
      <c r="AH21" s="24"/>
    </row>
    <row r="22" spans="1:50" ht="19.5" customHeight="1">
      <c r="B22" s="487"/>
      <c r="C22" s="25"/>
      <c r="D22" s="25"/>
      <c r="E22" s="25"/>
      <c r="F22" s="25"/>
      <c r="G22" s="25"/>
      <c r="AC22" s="24"/>
      <c r="AD22" s="24"/>
      <c r="AE22" s="24"/>
      <c r="AF22" s="24"/>
      <c r="AG22" s="24"/>
      <c r="AH22" s="24"/>
    </row>
    <row r="23" spans="1:50" ht="27.75" customHeight="1">
      <c r="AC23" s="24"/>
      <c r="AD23" s="24"/>
      <c r="AE23" s="24"/>
      <c r="AF23" s="24"/>
      <c r="AG23" s="24"/>
      <c r="AH23" s="24"/>
    </row>
    <row r="24" spans="1:50" ht="27.75" customHeight="1">
      <c r="AF24" s="24"/>
      <c r="AG24" s="24"/>
      <c r="AH24" s="24"/>
    </row>
  </sheetData>
  <mergeCells count="45">
    <mergeCell ref="AC5:AJ5"/>
    <mergeCell ref="AC7:AF7"/>
    <mergeCell ref="AG7:AG8"/>
    <mergeCell ref="AC6:AH6"/>
    <mergeCell ref="AH7:AH8"/>
    <mergeCell ref="AI6:AJ6"/>
    <mergeCell ref="AI7:AI8"/>
    <mergeCell ref="AJ7:AJ8"/>
    <mergeCell ref="AA7:AA8"/>
    <mergeCell ref="N5:AA5"/>
    <mergeCell ref="N19:O19"/>
    <mergeCell ref="N20:O20"/>
    <mergeCell ref="AB5:AB8"/>
    <mergeCell ref="A1:AK1"/>
    <mergeCell ref="A2:AK2"/>
    <mergeCell ref="B5:B8"/>
    <mergeCell ref="N7:Q7"/>
    <mergeCell ref="T7:T8"/>
    <mergeCell ref="K5:M5"/>
    <mergeCell ref="K6:K8"/>
    <mergeCell ref="L6:L8"/>
    <mergeCell ref="U7:U8"/>
    <mergeCell ref="C5:J5"/>
    <mergeCell ref="I6:J6"/>
    <mergeCell ref="A4:A8"/>
    <mergeCell ref="AB4:AJ4"/>
    <mergeCell ref="C7:F7"/>
    <mergeCell ref="G7:G8"/>
    <mergeCell ref="I7:I8"/>
    <mergeCell ref="B4:AA4"/>
    <mergeCell ref="AK7:AK8"/>
    <mergeCell ref="J7:J8"/>
    <mergeCell ref="M6:M8"/>
    <mergeCell ref="C6:H6"/>
    <mergeCell ref="H7:H8"/>
    <mergeCell ref="T6:W6"/>
    <mergeCell ref="V7:V8"/>
    <mergeCell ref="W7:W8"/>
    <mergeCell ref="N6:S6"/>
    <mergeCell ref="S7:S8"/>
    <mergeCell ref="R7:R8"/>
    <mergeCell ref="X7:X8"/>
    <mergeCell ref="Y7:Y8"/>
    <mergeCell ref="Z7:Z8"/>
    <mergeCell ref="X6:AA6"/>
  </mergeCells>
  <phoneticPr fontId="2" type="noConversion"/>
  <printOptions horizontalCentered="1"/>
  <pageMargins left="0" right="0" top="0.39370078740157483" bottom="0" header="0.94488188976377963" footer="0"/>
  <pageSetup paperSize="9" scale="65" orientation="landscape" r:id="rId1"/>
  <headerFooter alignWithMargins="0">
    <oddFooter>&amp;C&amp;8&amp;Z&amp;F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>
    <tabColor rgb="FFFF0000"/>
  </sheetPr>
  <dimension ref="A1:M45"/>
  <sheetViews>
    <sheetView zoomScale="90" zoomScaleNormal="90" workbookViewId="0">
      <selection activeCell="L30" sqref="L30"/>
    </sheetView>
  </sheetViews>
  <sheetFormatPr defaultRowHeight="27.75" customHeight="1"/>
  <cols>
    <col min="1" max="1" width="19.5703125" style="25" customWidth="1"/>
    <col min="2" max="2" width="14.28515625" style="313" customWidth="1"/>
    <col min="3" max="6" width="10.85546875" style="25" customWidth="1"/>
    <col min="7" max="7" width="6.85546875" style="25" customWidth="1"/>
    <col min="8" max="8" width="10.7109375" style="25" customWidth="1"/>
    <col min="9" max="9" width="11" style="25" customWidth="1"/>
    <col min="10" max="10" width="9.7109375" style="25" customWidth="1"/>
    <col min="11" max="11" width="12.42578125" style="25" customWidth="1"/>
    <col min="12" max="12" width="16.85546875" style="25" customWidth="1"/>
    <col min="13" max="13" width="22.7109375" style="25" customWidth="1"/>
    <col min="14" max="16384" width="9.140625" style="25"/>
  </cols>
  <sheetData>
    <row r="1" spans="1:13" ht="22.5" customHeight="1">
      <c r="A1" s="514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</row>
    <row r="2" spans="1:13" ht="22.5" customHeight="1">
      <c r="A2" s="514" t="s">
        <v>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</row>
    <row r="3" spans="1:13" ht="21.75" customHeight="1">
      <c r="A3" s="23" t="s">
        <v>126</v>
      </c>
      <c r="B3" s="328"/>
    </row>
    <row r="4" spans="1:13" s="87" customFormat="1" ht="21.75" customHeight="1">
      <c r="A4" s="603" t="s">
        <v>13</v>
      </c>
      <c r="B4" s="623" t="s">
        <v>120</v>
      </c>
      <c r="C4" s="624" t="s">
        <v>257</v>
      </c>
      <c r="D4" s="625"/>
      <c r="E4" s="625"/>
      <c r="F4" s="625"/>
      <c r="G4" s="625"/>
      <c r="H4" s="625"/>
      <c r="I4" s="625"/>
      <c r="J4" s="625"/>
      <c r="K4" s="625"/>
      <c r="L4" s="626"/>
      <c r="M4" s="139"/>
    </row>
    <row r="5" spans="1:13" s="87" customFormat="1" ht="28.5" customHeight="1">
      <c r="A5" s="604"/>
      <c r="B5" s="571"/>
      <c r="C5" s="616" t="s">
        <v>4</v>
      </c>
      <c r="D5" s="617"/>
      <c r="E5" s="617"/>
      <c r="F5" s="617"/>
      <c r="G5" s="618"/>
      <c r="H5" s="522" t="s">
        <v>26</v>
      </c>
      <c r="I5" s="621" t="s">
        <v>23</v>
      </c>
      <c r="J5" s="622"/>
      <c r="K5" s="631" t="s">
        <v>133</v>
      </c>
      <c r="L5" s="632"/>
    </row>
    <row r="6" spans="1:13" s="87" customFormat="1" ht="22.5" customHeight="1">
      <c r="A6" s="604"/>
      <c r="B6" s="571"/>
      <c r="C6" s="619" t="s">
        <v>1</v>
      </c>
      <c r="D6" s="620"/>
      <c r="E6" s="620"/>
      <c r="F6" s="620"/>
      <c r="G6" s="586" t="s">
        <v>2</v>
      </c>
      <c r="H6" s="522"/>
      <c r="I6" s="593" t="s">
        <v>3</v>
      </c>
      <c r="J6" s="581" t="s">
        <v>25</v>
      </c>
      <c r="K6" s="627" t="s">
        <v>14</v>
      </c>
      <c r="L6" s="629" t="s">
        <v>74</v>
      </c>
    </row>
    <row r="7" spans="1:13" s="87" customFormat="1" ht="24" customHeight="1">
      <c r="A7" s="604"/>
      <c r="B7" s="572"/>
      <c r="C7" s="84">
        <v>1</v>
      </c>
      <c r="D7" s="84">
        <v>2</v>
      </c>
      <c r="E7" s="84">
        <v>3</v>
      </c>
      <c r="F7" s="84">
        <v>4</v>
      </c>
      <c r="G7" s="587"/>
      <c r="H7" s="523"/>
      <c r="I7" s="594"/>
      <c r="J7" s="582"/>
      <c r="K7" s="628"/>
      <c r="L7" s="630"/>
    </row>
    <row r="8" spans="1:13" ht="24" customHeight="1">
      <c r="A8" s="85" t="s">
        <v>6</v>
      </c>
      <c r="B8" s="340"/>
      <c r="C8" s="143"/>
      <c r="D8" s="143"/>
      <c r="E8" s="143"/>
      <c r="F8" s="143"/>
      <c r="G8" s="143"/>
      <c r="H8" s="21"/>
      <c r="I8" s="145"/>
      <c r="J8" s="144"/>
      <c r="K8" s="145"/>
      <c r="L8" s="145"/>
      <c r="M8" s="231"/>
    </row>
    <row r="9" spans="1:13" ht="24" customHeight="1">
      <c r="A9" s="88" t="s">
        <v>7</v>
      </c>
      <c r="B9" s="341"/>
      <c r="C9" s="17"/>
      <c r="D9" s="17"/>
      <c r="E9" s="17"/>
      <c r="F9" s="17"/>
      <c r="G9" s="17"/>
      <c r="H9" s="19"/>
      <c r="I9" s="146"/>
      <c r="J9" s="146"/>
      <c r="K9" s="146"/>
      <c r="L9" s="146"/>
    </row>
    <row r="10" spans="1:13" ht="24" customHeight="1">
      <c r="A10" s="88" t="s">
        <v>8</v>
      </c>
      <c r="B10" s="341">
        <v>13</v>
      </c>
      <c r="C10" s="17">
        <f>0+1+0</f>
        <v>1</v>
      </c>
      <c r="D10" s="17">
        <f>10+0+0</f>
        <v>10</v>
      </c>
      <c r="E10" s="17"/>
      <c r="F10" s="17"/>
      <c r="G10" s="19">
        <f>SUM(C10:F10)</f>
        <v>11</v>
      </c>
      <c r="H10" s="19">
        <f>C10+10</f>
        <v>11</v>
      </c>
      <c r="I10" s="146">
        <v>11</v>
      </c>
      <c r="J10" s="146">
        <f>I10*100/H10</f>
        <v>100</v>
      </c>
      <c r="K10" s="146"/>
      <c r="L10" s="146"/>
      <c r="M10" s="268"/>
    </row>
    <row r="11" spans="1:13" ht="24" customHeight="1">
      <c r="A11" s="88" t="s">
        <v>9</v>
      </c>
      <c r="B11" s="341">
        <v>2</v>
      </c>
      <c r="C11" s="17">
        <f>0+0+1</f>
        <v>1</v>
      </c>
      <c r="D11" s="17">
        <f>0+1+0</f>
        <v>1</v>
      </c>
      <c r="E11" s="17"/>
      <c r="F11" s="17"/>
      <c r="G11" s="17">
        <f>SUM(C11:F11)</f>
        <v>2</v>
      </c>
      <c r="H11" s="19">
        <f>C11</f>
        <v>1</v>
      </c>
      <c r="I11" s="146">
        <v>1</v>
      </c>
      <c r="J11" s="146">
        <f>I11*100/H11</f>
        <v>100</v>
      </c>
      <c r="K11" s="146"/>
      <c r="L11" s="146"/>
      <c r="M11" s="231"/>
    </row>
    <row r="12" spans="1:13" ht="24" customHeight="1">
      <c r="A12" s="88" t="s">
        <v>10</v>
      </c>
      <c r="B12" s="341"/>
      <c r="C12" s="17"/>
      <c r="D12" s="17"/>
      <c r="E12" s="17"/>
      <c r="F12" s="17"/>
      <c r="G12" s="17"/>
      <c r="H12" s="19"/>
      <c r="I12" s="146"/>
      <c r="J12" s="146"/>
      <c r="K12" s="146"/>
      <c r="L12" s="146"/>
    </row>
    <row r="13" spans="1:13" ht="24" customHeight="1">
      <c r="A13" s="88" t="s">
        <v>11</v>
      </c>
      <c r="B13" s="341">
        <v>2</v>
      </c>
      <c r="C13" s="17">
        <f>0+2+0</f>
        <v>2</v>
      </c>
      <c r="D13" s="17"/>
      <c r="E13" s="17"/>
      <c r="F13" s="17"/>
      <c r="G13" s="17">
        <f>SUM(C13:F13)</f>
        <v>2</v>
      </c>
      <c r="H13" s="19">
        <f>C13</f>
        <v>2</v>
      </c>
      <c r="I13" s="146">
        <v>2</v>
      </c>
      <c r="J13" s="146">
        <f>I13*100/H13</f>
        <v>100</v>
      </c>
      <c r="K13" s="146">
        <v>1</v>
      </c>
      <c r="L13" s="146">
        <f>K13*100/I13</f>
        <v>50</v>
      </c>
      <c r="M13" s="231"/>
    </row>
    <row r="14" spans="1:13" ht="24" customHeight="1">
      <c r="A14" s="89" t="s">
        <v>12</v>
      </c>
      <c r="B14" s="342">
        <v>1</v>
      </c>
      <c r="C14" s="41">
        <f>0+0+1</f>
        <v>1</v>
      </c>
      <c r="D14" s="41"/>
      <c r="E14" s="41"/>
      <c r="F14" s="41"/>
      <c r="G14" s="41">
        <f>SUM(C14:F14)</f>
        <v>1</v>
      </c>
      <c r="H14" s="20">
        <f>C14</f>
        <v>1</v>
      </c>
      <c r="I14" s="147">
        <v>1</v>
      </c>
      <c r="J14" s="147">
        <f>I14*100/H14</f>
        <v>100</v>
      </c>
      <c r="K14" s="146"/>
      <c r="L14" s="146"/>
    </row>
    <row r="15" spans="1:13" s="87" customFormat="1" ht="24" customHeight="1">
      <c r="A15" s="90" t="s">
        <v>5</v>
      </c>
      <c r="B15" s="343">
        <f>SUM(B8:B14)</f>
        <v>18</v>
      </c>
      <c r="C15" s="148">
        <f>SUM(C8:C14)</f>
        <v>5</v>
      </c>
      <c r="D15" s="148">
        <f>SUM(D8:D14)</f>
        <v>11</v>
      </c>
      <c r="E15" s="148">
        <f>SUM(E8:E14)</f>
        <v>0</v>
      </c>
      <c r="F15" s="149"/>
      <c r="G15" s="150">
        <f>SUM(G8:G14)</f>
        <v>16</v>
      </c>
      <c r="H15" s="35">
        <f>SUM(H8:H14)</f>
        <v>15</v>
      </c>
      <c r="I15" s="39">
        <f>SUM(I8:I14)</f>
        <v>15</v>
      </c>
      <c r="J15" s="39">
        <f>I15*100/H15</f>
        <v>100</v>
      </c>
      <c r="K15" s="68">
        <f>SUM(K8:K14)</f>
        <v>1</v>
      </c>
      <c r="L15" s="68">
        <f>K15*100/I15</f>
        <v>6.666666666666667</v>
      </c>
    </row>
    <row r="16" spans="1:13" ht="21.75" hidden="1" customHeight="1">
      <c r="A16" s="23"/>
      <c r="B16" s="328"/>
    </row>
    <row r="17" spans="1:12" ht="21.75" hidden="1" customHeight="1">
      <c r="A17" s="33"/>
      <c r="B17" s="317"/>
      <c r="C17" s="32"/>
      <c r="D17" s="32"/>
      <c r="K17" s="32"/>
      <c r="L17" s="32"/>
    </row>
    <row r="18" spans="1:12" ht="21.75" hidden="1" customHeight="1">
      <c r="K18" s="32"/>
      <c r="L18" s="32"/>
    </row>
    <row r="19" spans="1:12" ht="21.75" hidden="1" customHeight="1">
      <c r="K19" s="32"/>
      <c r="L19" s="32"/>
    </row>
    <row r="20" spans="1:12" ht="21.75" hidden="1" customHeight="1">
      <c r="K20" s="32"/>
      <c r="L20" s="32"/>
    </row>
    <row r="21" spans="1:12" ht="21.75" hidden="1" customHeight="1">
      <c r="K21" s="32"/>
      <c r="L21" s="32"/>
    </row>
    <row r="22" spans="1:12" ht="27.75" hidden="1" customHeight="1"/>
    <row r="23" spans="1:12" ht="27.75" hidden="1" customHeight="1">
      <c r="K23" s="33"/>
      <c r="L23" s="151"/>
    </row>
    <row r="24" spans="1:12" ht="27.75" hidden="1" customHeight="1">
      <c r="K24" s="32"/>
      <c r="L24" s="33"/>
    </row>
    <row r="25" spans="1:12" ht="27.75" hidden="1" customHeight="1">
      <c r="K25" s="32"/>
      <c r="L25" s="32"/>
    </row>
    <row r="26" spans="1:12" ht="27.75" customHeight="1">
      <c r="A26" s="23"/>
      <c r="B26" s="328"/>
      <c r="C26" s="50"/>
      <c r="K26" s="32"/>
      <c r="L26" s="33"/>
    </row>
    <row r="27" spans="1:12" ht="27.75" customHeight="1">
      <c r="A27" s="23"/>
      <c r="B27" s="434" t="s">
        <v>256</v>
      </c>
      <c r="C27" s="50"/>
      <c r="K27" s="32"/>
      <c r="L27" s="317"/>
    </row>
    <row r="28" spans="1:12" ht="27.75" customHeight="1">
      <c r="A28" s="23"/>
      <c r="B28" s="442" t="s">
        <v>8</v>
      </c>
      <c r="C28" s="248" t="s">
        <v>285</v>
      </c>
      <c r="K28" s="32"/>
      <c r="L28" s="317"/>
    </row>
    <row r="29" spans="1:12" ht="27.75" customHeight="1">
      <c r="A29" s="23"/>
      <c r="B29" s="446"/>
      <c r="C29" s="231"/>
      <c r="K29" s="32"/>
      <c r="L29" s="317"/>
    </row>
    <row r="30" spans="1:12" ht="27.75" customHeight="1">
      <c r="A30" s="23"/>
      <c r="B30" s="328"/>
      <c r="C30" s="50"/>
      <c r="K30" s="32"/>
      <c r="L30" s="317"/>
    </row>
    <row r="31" spans="1:12" ht="27.75" customHeight="1">
      <c r="A31" s="23"/>
      <c r="B31" s="328"/>
      <c r="C31" s="50"/>
      <c r="K31" s="32"/>
      <c r="L31" s="317"/>
    </row>
    <row r="32" spans="1:12" ht="27.75" customHeight="1">
      <c r="A32" s="23"/>
      <c r="B32" s="328"/>
      <c r="C32" s="50"/>
      <c r="K32" s="32"/>
      <c r="L32" s="317"/>
    </row>
    <row r="33" spans="1:12" ht="27.75" customHeight="1">
      <c r="A33" s="23"/>
      <c r="B33" s="328"/>
      <c r="C33" s="50"/>
      <c r="K33" s="32"/>
      <c r="L33" s="317"/>
    </row>
    <row r="34" spans="1:12" ht="27.75" customHeight="1">
      <c r="A34" s="23"/>
      <c r="B34" s="328"/>
      <c r="C34" s="50"/>
      <c r="K34" s="32"/>
      <c r="L34" s="317"/>
    </row>
    <row r="35" spans="1:12" ht="27.75" customHeight="1">
      <c r="A35" s="23"/>
      <c r="B35" s="328"/>
      <c r="C35" s="50"/>
      <c r="K35" s="32"/>
      <c r="L35" s="317"/>
    </row>
    <row r="36" spans="1:12" ht="27.75" customHeight="1">
      <c r="A36" s="23"/>
      <c r="B36" s="23" t="s">
        <v>122</v>
      </c>
      <c r="C36" s="50"/>
      <c r="K36" s="32"/>
      <c r="L36" s="303"/>
    </row>
    <row r="37" spans="1:12" ht="20.25" customHeight="1">
      <c r="A37" s="72" t="s">
        <v>8</v>
      </c>
      <c r="B37" s="152" t="s">
        <v>121</v>
      </c>
      <c r="C37" s="152"/>
    </row>
    <row r="38" spans="1:12" ht="20.25" customHeight="1">
      <c r="A38" s="301"/>
      <c r="B38" s="152" t="s">
        <v>255</v>
      </c>
      <c r="C38" s="24"/>
    </row>
    <row r="39" spans="1:12" ht="20.25" customHeight="1">
      <c r="A39" s="313"/>
      <c r="B39" s="152"/>
      <c r="C39" s="24"/>
    </row>
    <row r="40" spans="1:12" ht="20.25" customHeight="1">
      <c r="A40" s="72" t="s">
        <v>9</v>
      </c>
      <c r="B40" s="152" t="s">
        <v>123</v>
      </c>
      <c r="C40" s="152"/>
    </row>
    <row r="41" spans="1:12" ht="20.25" customHeight="1">
      <c r="A41" s="277"/>
      <c r="C41" s="24"/>
    </row>
    <row r="42" spans="1:12" ht="20.25" customHeight="1">
      <c r="A42" s="266" t="s">
        <v>11</v>
      </c>
      <c r="B42" s="152" t="s">
        <v>124</v>
      </c>
      <c r="C42" s="24"/>
    </row>
    <row r="43" spans="1:12" ht="20.25" customHeight="1">
      <c r="B43" s="152" t="s">
        <v>125</v>
      </c>
      <c r="C43" s="152"/>
    </row>
    <row r="44" spans="1:12" ht="20.25" customHeight="1"/>
    <row r="45" spans="1:12" ht="22.5" customHeight="1">
      <c r="A45" s="404" t="s">
        <v>12</v>
      </c>
      <c r="B45" s="24" t="s">
        <v>250</v>
      </c>
    </row>
  </sheetData>
  <mergeCells count="15">
    <mergeCell ref="A1:L1"/>
    <mergeCell ref="A2:L2"/>
    <mergeCell ref="C5:G5"/>
    <mergeCell ref="A4:A7"/>
    <mergeCell ref="C6:F6"/>
    <mergeCell ref="G6:G7"/>
    <mergeCell ref="H5:H7"/>
    <mergeCell ref="I5:J5"/>
    <mergeCell ref="I6:I7"/>
    <mergeCell ref="J6:J7"/>
    <mergeCell ref="B4:B7"/>
    <mergeCell ref="C4:L4"/>
    <mergeCell ref="K6:K7"/>
    <mergeCell ref="L6:L7"/>
    <mergeCell ref="K5:L5"/>
  </mergeCells>
  <phoneticPr fontId="2" type="noConversion"/>
  <printOptions horizontalCentered="1"/>
  <pageMargins left="0" right="0" top="0" bottom="0" header="0.94488188976377963" footer="0"/>
  <pageSetup paperSize="9" scale="95" orientation="landscape" r:id="rId1"/>
  <headerFooter alignWithMargins="0">
    <oddFooter>&amp;C&amp;8&amp;Z&amp;F</oddFooter>
  </headerFooter>
  <drawing r:id="rId2"/>
  <legacyDrawing r:id="rId3"/>
  <controls>
    <control shapeId="153601" r:id="rId4" name="Control 1"/>
  </controls>
</worksheet>
</file>

<file path=xl/worksheets/sheet4.xml><?xml version="1.0" encoding="utf-8"?>
<worksheet xmlns="http://schemas.openxmlformats.org/spreadsheetml/2006/main" xmlns:r="http://schemas.openxmlformats.org/officeDocument/2006/relationships">
  <dimension ref="A1:AY31"/>
  <sheetViews>
    <sheetView zoomScale="90" zoomScaleNormal="90" workbookViewId="0">
      <selection activeCell="S17" sqref="S17"/>
    </sheetView>
  </sheetViews>
  <sheetFormatPr defaultRowHeight="27.75" customHeight="1"/>
  <cols>
    <col min="1" max="1" width="12.85546875" style="25" customWidth="1"/>
    <col min="2" max="2" width="9.85546875" style="25" customWidth="1"/>
    <col min="3" max="6" width="5" style="25" customWidth="1"/>
    <col min="7" max="7" width="6.42578125" style="25" customWidth="1"/>
    <col min="8" max="8" width="6.85546875" style="25" customWidth="1"/>
    <col min="9" max="9" width="5.28515625" style="25" customWidth="1"/>
    <col min="10" max="10" width="7" style="25" customWidth="1"/>
    <col min="11" max="11" width="8.42578125" style="25" customWidth="1"/>
    <col min="12" max="12" width="8.140625" style="25" customWidth="1"/>
    <col min="13" max="13" width="7.28515625" style="25" customWidth="1"/>
    <col min="14" max="18" width="5" style="25" customWidth="1"/>
    <col min="19" max="21" width="7" style="25" customWidth="1"/>
    <col min="22" max="22" width="8.140625" style="25" customWidth="1"/>
    <col min="23" max="23" width="9.85546875" style="25" customWidth="1"/>
    <col min="24" max="24" width="7.140625" style="25" customWidth="1"/>
    <col min="25" max="25" width="10.42578125" style="25" customWidth="1"/>
    <col min="26" max="26" width="10" style="25" customWidth="1"/>
    <col min="27" max="27" width="10.5703125" style="25" customWidth="1"/>
    <col min="28" max="28" width="9.7109375" style="25" customWidth="1"/>
    <col min="29" max="29" width="9.140625" style="25"/>
    <col min="30" max="30" width="10" style="25" customWidth="1"/>
    <col min="31" max="31" width="8.5703125" style="25" customWidth="1"/>
    <col min="32" max="32" width="5.5703125" style="25" customWidth="1"/>
    <col min="33" max="16384" width="9.140625" style="25"/>
  </cols>
  <sheetData>
    <row r="1" spans="1:51" s="100" customFormat="1" ht="24" customHeight="1">
      <c r="A1" s="638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638"/>
      <c r="Z1" s="153"/>
      <c r="AA1" s="153"/>
      <c r="AB1" s="153"/>
      <c r="AC1" s="153"/>
    </row>
    <row r="2" spans="1:51" s="100" customFormat="1" ht="24" customHeight="1">
      <c r="A2" s="638" t="s">
        <v>0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153"/>
      <c r="AA2" s="153"/>
      <c r="AB2" s="153"/>
      <c r="AC2" s="153"/>
    </row>
    <row r="3" spans="1:51" s="100" customFormat="1" ht="28.5" customHeight="1">
      <c r="A3" s="154" t="s">
        <v>127</v>
      </c>
      <c r="B3" s="154"/>
    </row>
    <row r="4" spans="1:51" s="83" customFormat="1" ht="23.25" customHeight="1">
      <c r="A4" s="639" t="s">
        <v>13</v>
      </c>
      <c r="B4" s="623" t="s">
        <v>69</v>
      </c>
      <c r="C4" s="634" t="s">
        <v>24</v>
      </c>
      <c r="D4" s="635"/>
      <c r="E4" s="635"/>
      <c r="F4" s="635"/>
      <c r="G4" s="635"/>
      <c r="H4" s="635"/>
      <c r="I4" s="635"/>
      <c r="J4" s="635"/>
      <c r="K4" s="635"/>
      <c r="L4" s="635"/>
      <c r="M4" s="636"/>
      <c r="N4" s="634" t="s">
        <v>128</v>
      </c>
      <c r="O4" s="635"/>
      <c r="P4" s="635"/>
      <c r="Q4" s="635"/>
      <c r="R4" s="635"/>
      <c r="S4" s="635"/>
      <c r="T4" s="635"/>
      <c r="U4" s="635"/>
      <c r="V4" s="635"/>
      <c r="W4" s="635"/>
      <c r="X4" s="635"/>
      <c r="Y4" s="636"/>
      <c r="Z4" s="633" t="s">
        <v>251</v>
      </c>
    </row>
    <row r="5" spans="1:51" s="83" customFormat="1" ht="24.75" customHeight="1">
      <c r="A5" s="640"/>
      <c r="B5" s="571"/>
      <c r="C5" s="587" t="s">
        <v>4</v>
      </c>
      <c r="D5" s="587"/>
      <c r="E5" s="587"/>
      <c r="F5" s="587"/>
      <c r="G5" s="587"/>
      <c r="H5" s="577" t="s">
        <v>26</v>
      </c>
      <c r="I5" s="645" t="s">
        <v>23</v>
      </c>
      <c r="J5" s="646"/>
      <c r="K5" s="631" t="s">
        <v>29</v>
      </c>
      <c r="L5" s="637"/>
      <c r="M5" s="632"/>
      <c r="N5" s="587" t="s">
        <v>4</v>
      </c>
      <c r="O5" s="587"/>
      <c r="P5" s="587"/>
      <c r="Q5" s="587"/>
      <c r="R5" s="587"/>
      <c r="S5" s="577" t="s">
        <v>26</v>
      </c>
      <c r="T5" s="645" t="s">
        <v>23</v>
      </c>
      <c r="U5" s="646"/>
      <c r="V5" s="631" t="s">
        <v>129</v>
      </c>
      <c r="W5" s="637"/>
      <c r="X5" s="637"/>
      <c r="Y5" s="632"/>
      <c r="Z5" s="633"/>
    </row>
    <row r="6" spans="1:51" s="83" customFormat="1" ht="34.5" customHeight="1">
      <c r="A6" s="640"/>
      <c r="B6" s="571"/>
      <c r="C6" s="615" t="s">
        <v>1</v>
      </c>
      <c r="D6" s="615"/>
      <c r="E6" s="615"/>
      <c r="F6" s="615"/>
      <c r="G6" s="615" t="s">
        <v>2</v>
      </c>
      <c r="H6" s="644"/>
      <c r="I6" s="621"/>
      <c r="J6" s="622"/>
      <c r="K6" s="641" t="s">
        <v>30</v>
      </c>
      <c r="L6" s="641" t="s">
        <v>31</v>
      </c>
      <c r="M6" s="642" t="s">
        <v>32</v>
      </c>
      <c r="N6" s="615" t="s">
        <v>1</v>
      </c>
      <c r="O6" s="615"/>
      <c r="P6" s="615"/>
      <c r="Q6" s="615"/>
      <c r="R6" s="615" t="s">
        <v>2</v>
      </c>
      <c r="S6" s="644"/>
      <c r="T6" s="621"/>
      <c r="U6" s="622"/>
      <c r="V6" s="647" t="s">
        <v>130</v>
      </c>
      <c r="W6" s="647" t="s">
        <v>131</v>
      </c>
      <c r="X6" s="629" t="s">
        <v>60</v>
      </c>
      <c r="Y6" s="629" t="s">
        <v>132</v>
      </c>
      <c r="Z6" s="633"/>
    </row>
    <row r="7" spans="1:51" s="83" customFormat="1" ht="36.75" customHeight="1">
      <c r="A7" s="640"/>
      <c r="B7" s="572"/>
      <c r="C7" s="141">
        <v>1</v>
      </c>
      <c r="D7" s="141">
        <v>2</v>
      </c>
      <c r="E7" s="141">
        <v>3</v>
      </c>
      <c r="F7" s="141">
        <v>4</v>
      </c>
      <c r="G7" s="615"/>
      <c r="H7" s="644"/>
      <c r="I7" s="142" t="s">
        <v>3</v>
      </c>
      <c r="J7" s="140" t="s">
        <v>25</v>
      </c>
      <c r="K7" s="641"/>
      <c r="L7" s="641"/>
      <c r="M7" s="643"/>
      <c r="N7" s="318">
        <v>1</v>
      </c>
      <c r="O7" s="318">
        <v>2</v>
      </c>
      <c r="P7" s="318">
        <v>3</v>
      </c>
      <c r="Q7" s="318">
        <v>4</v>
      </c>
      <c r="R7" s="615"/>
      <c r="S7" s="644"/>
      <c r="T7" s="316" t="s">
        <v>3</v>
      </c>
      <c r="U7" s="314" t="s">
        <v>25</v>
      </c>
      <c r="V7" s="647"/>
      <c r="W7" s="647"/>
      <c r="X7" s="630"/>
      <c r="Y7" s="630"/>
      <c r="Z7" s="633"/>
    </row>
    <row r="8" spans="1:51" s="100" customFormat="1" ht="22.5" customHeight="1">
      <c r="A8" s="155" t="s">
        <v>6</v>
      </c>
      <c r="B8" s="344"/>
      <c r="C8" s="65"/>
      <c r="D8" s="65"/>
      <c r="E8" s="65"/>
      <c r="F8" s="65"/>
      <c r="G8" s="65"/>
      <c r="H8" s="157"/>
      <c r="I8" s="158"/>
      <c r="J8" s="159"/>
      <c r="K8" s="166"/>
      <c r="L8" s="166"/>
      <c r="M8" s="166"/>
      <c r="N8" s="65"/>
      <c r="O8" s="65"/>
      <c r="P8" s="65"/>
      <c r="Q8" s="65"/>
      <c r="R8" s="65"/>
      <c r="S8" s="157"/>
      <c r="T8" s="158"/>
      <c r="U8" s="159"/>
      <c r="V8" s="166"/>
      <c r="W8" s="166"/>
      <c r="X8" s="166"/>
      <c r="Y8" s="156"/>
      <c r="Z8" s="83"/>
    </row>
    <row r="9" spans="1:51" s="100" customFormat="1" ht="22.5" customHeight="1">
      <c r="A9" s="156" t="s">
        <v>7</v>
      </c>
      <c r="B9" s="345">
        <v>8</v>
      </c>
      <c r="C9" s="65">
        <f>0+0+8</f>
        <v>8</v>
      </c>
      <c r="D9" s="65"/>
      <c r="E9" s="65"/>
      <c r="F9" s="65"/>
      <c r="G9" s="236">
        <f>SUM(C9:F9)</f>
        <v>8</v>
      </c>
      <c r="H9" s="157">
        <f>C9</f>
        <v>8</v>
      </c>
      <c r="I9" s="158">
        <v>8</v>
      </c>
      <c r="J9" s="159">
        <f t="shared" ref="J9:J11" si="0">I9*100/H9</f>
        <v>100</v>
      </c>
      <c r="K9" s="166">
        <v>8</v>
      </c>
      <c r="L9" s="166"/>
      <c r="M9" s="166"/>
      <c r="N9" s="65"/>
      <c r="O9" s="65"/>
      <c r="P9" s="65"/>
      <c r="Q9" s="65"/>
      <c r="R9" s="348"/>
      <c r="S9" s="157"/>
      <c r="T9" s="158"/>
      <c r="U9" s="159"/>
      <c r="V9" s="166"/>
      <c r="W9" s="166"/>
      <c r="X9" s="166"/>
      <c r="Y9" s="156"/>
      <c r="AJ9" s="100">
        <f>18+25+14</f>
        <v>57</v>
      </c>
      <c r="AO9" s="100">
        <f>SUM(AJ9:AL9)+1</f>
        <v>58</v>
      </c>
      <c r="AP9" s="100">
        <v>80</v>
      </c>
      <c r="AX9" s="100">
        <f>SUM(AS9:AU9)+4</f>
        <v>4</v>
      </c>
      <c r="AY9" s="100">
        <v>81</v>
      </c>
    </row>
    <row r="10" spans="1:51" s="100" customFormat="1" ht="22.5" customHeight="1">
      <c r="A10" s="156" t="s">
        <v>8</v>
      </c>
      <c r="B10" s="345">
        <v>5</v>
      </c>
      <c r="C10" s="65">
        <f>0+0+3</f>
        <v>3</v>
      </c>
      <c r="D10" s="65"/>
      <c r="E10" s="65"/>
      <c r="F10" s="65"/>
      <c r="G10" s="236">
        <f t="shared" ref="G10:G14" si="1">SUM(C10:F10)</f>
        <v>3</v>
      </c>
      <c r="H10" s="157">
        <f>C10</f>
        <v>3</v>
      </c>
      <c r="I10" s="158">
        <v>3</v>
      </c>
      <c r="J10" s="159">
        <f t="shared" si="0"/>
        <v>100</v>
      </c>
      <c r="K10" s="166">
        <v>3</v>
      </c>
      <c r="L10" s="166"/>
      <c r="M10" s="166"/>
      <c r="N10" s="65"/>
      <c r="O10" s="65"/>
      <c r="P10" s="65"/>
      <c r="Q10" s="65"/>
      <c r="R10" s="348"/>
      <c r="S10" s="157"/>
      <c r="T10" s="158"/>
      <c r="U10" s="159"/>
      <c r="V10" s="166"/>
      <c r="W10" s="166"/>
      <c r="X10" s="166"/>
      <c r="Y10" s="156"/>
      <c r="Z10" s="418">
        <v>2</v>
      </c>
      <c r="AO10" s="100">
        <f>SUM(AJ10:AL10)+1</f>
        <v>1</v>
      </c>
      <c r="AP10" s="100">
        <v>56</v>
      </c>
      <c r="AX10" s="100">
        <f>SUM(AS10:AU10)+6</f>
        <v>6</v>
      </c>
      <c r="AY10" s="100">
        <v>46</v>
      </c>
    </row>
    <row r="11" spans="1:51" s="161" customFormat="1" ht="22.5" customHeight="1">
      <c r="A11" s="160" t="s">
        <v>9</v>
      </c>
      <c r="B11" s="345">
        <v>1</v>
      </c>
      <c r="C11" s="65">
        <f>0+0+1</f>
        <v>1</v>
      </c>
      <c r="D11" s="65"/>
      <c r="E11" s="65"/>
      <c r="F11" s="65"/>
      <c r="G11" s="236">
        <f t="shared" si="1"/>
        <v>1</v>
      </c>
      <c r="H11" s="157">
        <f t="shared" ref="H11:H14" si="2">C11</f>
        <v>1</v>
      </c>
      <c r="I11" s="158">
        <v>1</v>
      </c>
      <c r="J11" s="159">
        <f t="shared" si="0"/>
        <v>100</v>
      </c>
      <c r="K11" s="166"/>
      <c r="L11" s="166">
        <v>1</v>
      </c>
      <c r="M11" s="166"/>
      <c r="N11" s="65"/>
      <c r="O11" s="65"/>
      <c r="P11" s="65"/>
      <c r="Q11" s="65"/>
      <c r="R11" s="236"/>
      <c r="S11" s="157"/>
      <c r="T11" s="158"/>
      <c r="U11" s="159"/>
      <c r="V11" s="166"/>
      <c r="W11" s="166"/>
      <c r="X11" s="166"/>
      <c r="Y11" s="156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X11" s="161">
        <f>SUM(AS11:AU11)+7</f>
        <v>7</v>
      </c>
      <c r="AY11" s="161">
        <v>32</v>
      </c>
    </row>
    <row r="12" spans="1:51" s="100" customFormat="1" ht="22.5" customHeight="1">
      <c r="A12" s="156" t="s">
        <v>10</v>
      </c>
      <c r="B12" s="345">
        <v>7</v>
      </c>
      <c r="C12" s="65">
        <f>0+2+5</f>
        <v>7</v>
      </c>
      <c r="D12" s="65"/>
      <c r="E12" s="65"/>
      <c r="F12" s="65"/>
      <c r="G12" s="236">
        <f t="shared" si="1"/>
        <v>7</v>
      </c>
      <c r="H12" s="157">
        <f t="shared" si="2"/>
        <v>7</v>
      </c>
      <c r="I12" s="158">
        <v>7</v>
      </c>
      <c r="J12" s="159">
        <f>I12*100/H12</f>
        <v>100</v>
      </c>
      <c r="K12" s="166">
        <v>7</v>
      </c>
      <c r="L12" s="166"/>
      <c r="M12" s="166"/>
      <c r="N12" s="65"/>
      <c r="O12" s="65"/>
      <c r="P12" s="65"/>
      <c r="Q12" s="65"/>
      <c r="R12" s="236"/>
      <c r="S12" s="157"/>
      <c r="T12" s="158"/>
      <c r="U12" s="159"/>
      <c r="V12" s="166"/>
      <c r="W12" s="166"/>
      <c r="X12" s="166"/>
      <c r="Y12" s="156"/>
      <c r="Z12" s="83"/>
      <c r="AO12" s="100">
        <f>SUM(AJ12:AL12)+7</f>
        <v>7</v>
      </c>
      <c r="AP12" s="100">
        <v>116</v>
      </c>
      <c r="AQ12" s="100">
        <v>131</v>
      </c>
      <c r="AX12" s="100">
        <f>SUM(AS12:AU12)+10</f>
        <v>10</v>
      </c>
      <c r="AY12" s="162">
        <v>81</v>
      </c>
    </row>
    <row r="13" spans="1:51" s="100" customFormat="1" ht="22.5" customHeight="1">
      <c r="A13" s="156" t="s">
        <v>11</v>
      </c>
      <c r="B13" s="345">
        <v>4</v>
      </c>
      <c r="C13" s="65">
        <f>0+0+4</f>
        <v>4</v>
      </c>
      <c r="D13" s="65"/>
      <c r="E13" s="65"/>
      <c r="F13" s="65"/>
      <c r="G13" s="236">
        <f t="shared" si="1"/>
        <v>4</v>
      </c>
      <c r="H13" s="157">
        <f t="shared" si="2"/>
        <v>4</v>
      </c>
      <c r="I13" s="158">
        <v>4</v>
      </c>
      <c r="J13" s="159">
        <f>I13*100/H13</f>
        <v>100</v>
      </c>
      <c r="K13" s="504">
        <v>4</v>
      </c>
      <c r="L13" s="504"/>
      <c r="M13" s="166"/>
      <c r="N13" s="65"/>
      <c r="O13" s="65"/>
      <c r="P13" s="65"/>
      <c r="Q13" s="65"/>
      <c r="R13" s="236"/>
      <c r="S13" s="157"/>
      <c r="T13" s="158"/>
      <c r="U13" s="159"/>
      <c r="V13" s="166"/>
      <c r="W13" s="166"/>
      <c r="X13" s="166"/>
      <c r="Y13" s="156"/>
      <c r="Z13" s="83"/>
      <c r="AO13" s="100">
        <f>SUM(AJ13:AL13)+1</f>
        <v>1</v>
      </c>
      <c r="AP13" s="100">
        <v>56</v>
      </c>
      <c r="AQ13" s="100">
        <v>56</v>
      </c>
      <c r="AY13" s="162">
        <v>53</v>
      </c>
    </row>
    <row r="14" spans="1:51" s="100" customFormat="1" ht="22.5" customHeight="1">
      <c r="A14" s="163" t="s">
        <v>12</v>
      </c>
      <c r="B14" s="346">
        <v>1</v>
      </c>
      <c r="C14" s="65">
        <f>0+0+1</f>
        <v>1</v>
      </c>
      <c r="D14" s="65"/>
      <c r="E14" s="65"/>
      <c r="F14" s="65"/>
      <c r="G14" s="236">
        <f t="shared" si="1"/>
        <v>1</v>
      </c>
      <c r="H14" s="157">
        <f t="shared" si="2"/>
        <v>1</v>
      </c>
      <c r="I14" s="158">
        <v>1</v>
      </c>
      <c r="J14" s="159">
        <f>I14*100/H14</f>
        <v>100</v>
      </c>
      <c r="K14" s="167">
        <v>1</v>
      </c>
      <c r="L14" s="167"/>
      <c r="M14" s="167"/>
      <c r="N14" s="65"/>
      <c r="O14" s="65"/>
      <c r="P14" s="65"/>
      <c r="Q14" s="65"/>
      <c r="R14" s="236"/>
      <c r="S14" s="157"/>
      <c r="T14" s="158"/>
      <c r="U14" s="159"/>
      <c r="V14" s="167"/>
      <c r="W14" s="167"/>
      <c r="X14" s="167"/>
      <c r="Y14" s="163"/>
      <c r="AO14" s="100">
        <f>SUM(AJ14:AL14)+5</f>
        <v>5</v>
      </c>
      <c r="AP14" s="100">
        <v>120</v>
      </c>
      <c r="AQ14" s="100">
        <v>120</v>
      </c>
      <c r="AX14" s="100">
        <f>SUM(AS14:AU14)+3</f>
        <v>3</v>
      </c>
      <c r="AY14" s="162">
        <v>103</v>
      </c>
    </row>
    <row r="15" spans="1:51" s="83" customFormat="1" ht="22.5" customHeight="1">
      <c r="A15" s="164" t="s">
        <v>5</v>
      </c>
      <c r="B15" s="347">
        <f>SUM(B8:B14)</f>
        <v>26</v>
      </c>
      <c r="C15" s="38">
        <f>SUM(C8:C14)</f>
        <v>24</v>
      </c>
      <c r="D15" s="38">
        <f t="shared" ref="D15:I15" si="3">SUM(D8:D14)</f>
        <v>0</v>
      </c>
      <c r="E15" s="38">
        <f t="shared" si="3"/>
        <v>0</v>
      </c>
      <c r="F15" s="38">
        <f t="shared" si="3"/>
        <v>0</v>
      </c>
      <c r="G15" s="38">
        <f>SUM(G8:G14)</f>
        <v>24</v>
      </c>
      <c r="H15" s="37">
        <f t="shared" si="3"/>
        <v>24</v>
      </c>
      <c r="I15" s="22">
        <f t="shared" si="3"/>
        <v>24</v>
      </c>
      <c r="J15" s="22">
        <f>I15*100/H15</f>
        <v>100</v>
      </c>
      <c r="K15" s="36">
        <f>SUM(K8:K14)</f>
        <v>23</v>
      </c>
      <c r="L15" s="36">
        <f>SUM(L8:L14)</f>
        <v>1</v>
      </c>
      <c r="M15" s="36">
        <f>SUM(M8:M14)</f>
        <v>0</v>
      </c>
      <c r="N15" s="38">
        <f>SUM(N8:N14)</f>
        <v>0</v>
      </c>
      <c r="O15" s="38">
        <f t="shared" ref="O15:Q15" si="4">SUM(O8:O14)</f>
        <v>0</v>
      </c>
      <c r="P15" s="38">
        <f t="shared" si="4"/>
        <v>0</v>
      </c>
      <c r="Q15" s="38">
        <f t="shared" si="4"/>
        <v>0</v>
      </c>
      <c r="R15" s="38">
        <f>SUM(R8:R14)</f>
        <v>0</v>
      </c>
      <c r="S15" s="37">
        <f t="shared" ref="S15:U15" si="5">SUM(S8:S14)</f>
        <v>0</v>
      </c>
      <c r="T15" s="22">
        <f t="shared" si="5"/>
        <v>0</v>
      </c>
      <c r="U15" s="22">
        <f t="shared" si="5"/>
        <v>0</v>
      </c>
      <c r="V15" s="36">
        <f>SUM(V8:V14)</f>
        <v>0</v>
      </c>
      <c r="W15" s="36">
        <f>SUM(W8:W14)</f>
        <v>0</v>
      </c>
      <c r="X15" s="36">
        <f>SUM(X8:X14)</f>
        <v>0</v>
      </c>
      <c r="Y15" s="36">
        <f>SUM(Y8:Y14)</f>
        <v>0</v>
      </c>
      <c r="AO15" s="83">
        <f>SUM(AJ15:AL15)+3</f>
        <v>3</v>
      </c>
      <c r="AQ15" s="83">
        <v>45</v>
      </c>
    </row>
    <row r="17" spans="1:25" ht="27.75" customHeight="1">
      <c r="K17" s="25" t="s">
        <v>289</v>
      </c>
    </row>
    <row r="18" spans="1:25" ht="27.75" customHeight="1">
      <c r="Y18" s="419"/>
    </row>
    <row r="19" spans="1:25" ht="27.75" customHeight="1" thickBot="1"/>
    <row r="20" spans="1:25" ht="18.75" customHeight="1">
      <c r="A20" s="392" t="s">
        <v>37</v>
      </c>
      <c r="B20" s="393"/>
      <c r="C20" s="394"/>
      <c r="D20" s="394"/>
      <c r="E20" s="394"/>
      <c r="F20" s="394"/>
      <c r="G20" s="394"/>
      <c r="H20" s="394"/>
      <c r="I20" s="394"/>
      <c r="J20" s="394"/>
      <c r="K20" s="394"/>
      <c r="L20" s="394"/>
      <c r="M20" s="394"/>
      <c r="N20" s="394"/>
      <c r="O20" s="394"/>
      <c r="P20" s="394"/>
      <c r="Q20" s="394"/>
      <c r="R20" s="394"/>
      <c r="S20" s="394"/>
      <c r="T20" s="395"/>
    </row>
    <row r="21" spans="1:25" s="100" customFormat="1" ht="18.75" customHeight="1">
      <c r="A21" s="391" t="s">
        <v>13</v>
      </c>
      <c r="B21" s="361" t="s">
        <v>136</v>
      </c>
      <c r="C21" s="361"/>
      <c r="D21" s="361"/>
      <c r="E21" s="361"/>
      <c r="F21" s="361"/>
      <c r="G21" s="361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61"/>
      <c r="S21" s="361"/>
      <c r="T21" s="396"/>
    </row>
    <row r="22" spans="1:25" s="100" customFormat="1" ht="18.75" customHeight="1">
      <c r="A22" s="391"/>
      <c r="B22" s="361" t="s">
        <v>137</v>
      </c>
      <c r="C22" s="361"/>
      <c r="D22" s="361"/>
      <c r="E22" s="361"/>
      <c r="F22" s="361"/>
      <c r="G22" s="361"/>
      <c r="H22" s="361"/>
      <c r="I22" s="361"/>
      <c r="J22" s="361"/>
      <c r="K22" s="361"/>
      <c r="L22" s="361"/>
      <c r="M22" s="361"/>
      <c r="N22" s="361"/>
      <c r="O22" s="361"/>
      <c r="P22" s="361" t="s">
        <v>138</v>
      </c>
      <c r="Q22" s="361"/>
      <c r="R22" s="361"/>
      <c r="S22" s="361"/>
      <c r="T22" s="396"/>
    </row>
    <row r="23" spans="1:25" s="100" customFormat="1" ht="18.75" customHeight="1">
      <c r="A23" s="391"/>
      <c r="B23" s="361" t="s">
        <v>139</v>
      </c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61"/>
      <c r="S23" s="361"/>
      <c r="T23" s="396"/>
    </row>
    <row r="24" spans="1:25" s="100" customFormat="1" ht="18.75" customHeight="1">
      <c r="A24" s="391"/>
      <c r="B24" s="361" t="s">
        <v>140</v>
      </c>
      <c r="C24" s="361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 t="s">
        <v>143</v>
      </c>
      <c r="Q24" s="361"/>
      <c r="R24" s="361"/>
      <c r="S24" s="361"/>
      <c r="T24" s="396"/>
    </row>
    <row r="25" spans="1:25" s="100" customFormat="1" ht="18.75" customHeight="1">
      <c r="A25" s="391"/>
      <c r="B25" s="361" t="s">
        <v>141</v>
      </c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361"/>
      <c r="Q25" s="361"/>
      <c r="R25" s="361"/>
      <c r="S25" s="361"/>
      <c r="T25" s="396"/>
    </row>
    <row r="26" spans="1:25" s="100" customFormat="1" ht="18.75" customHeight="1">
      <c r="A26" s="391"/>
      <c r="B26" s="361" t="s">
        <v>142</v>
      </c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96"/>
    </row>
    <row r="27" spans="1:25" s="100" customFormat="1" ht="8.25" customHeight="1">
      <c r="A27" s="391"/>
      <c r="B27" s="361"/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  <c r="R27" s="361"/>
      <c r="S27" s="361"/>
      <c r="T27" s="396"/>
    </row>
    <row r="28" spans="1:25" s="100" customFormat="1" ht="27.75" customHeight="1">
      <c r="A28" s="391" t="s">
        <v>34</v>
      </c>
      <c r="B28" s="361" t="s">
        <v>144</v>
      </c>
      <c r="C28" s="361"/>
      <c r="D28" s="361"/>
      <c r="E28" s="361"/>
      <c r="F28" s="361"/>
      <c r="G28" s="361"/>
      <c r="H28" s="361"/>
      <c r="I28" s="361"/>
      <c r="J28" s="361"/>
      <c r="K28" s="361"/>
      <c r="L28" s="361"/>
      <c r="M28" s="361"/>
      <c r="N28" s="361"/>
      <c r="O28" s="361"/>
      <c r="P28" s="361" t="s">
        <v>145</v>
      </c>
      <c r="Q28" s="361"/>
      <c r="R28" s="361"/>
      <c r="S28" s="361"/>
      <c r="T28" s="396"/>
    </row>
    <row r="29" spans="1:25" ht="10.5" customHeight="1" thickBot="1">
      <c r="A29" s="397"/>
      <c r="B29" s="398" t="s">
        <v>46</v>
      </c>
      <c r="C29" s="399"/>
      <c r="D29" s="399"/>
      <c r="E29" s="399"/>
      <c r="F29" s="399"/>
      <c r="G29" s="399"/>
      <c r="H29" s="399"/>
      <c r="I29" s="398"/>
      <c r="J29" s="398"/>
      <c r="K29" s="398"/>
      <c r="L29" s="398"/>
      <c r="M29" s="398"/>
      <c r="N29" s="398"/>
      <c r="O29" s="398"/>
      <c r="P29" s="398"/>
      <c r="Q29" s="398"/>
      <c r="R29" s="398"/>
      <c r="S29" s="398"/>
      <c r="T29" s="400"/>
    </row>
    <row r="31" spans="1:25" ht="27.75" customHeight="1">
      <c r="W31" s="514"/>
      <c r="X31" s="514"/>
      <c r="Y31" s="32"/>
    </row>
  </sheetData>
  <mergeCells count="27">
    <mergeCell ref="W31:X31"/>
    <mergeCell ref="C6:F6"/>
    <mergeCell ref="G6:G7"/>
    <mergeCell ref="N5:R5"/>
    <mergeCell ref="S5:S7"/>
    <mergeCell ref="T5:U6"/>
    <mergeCell ref="N6:Q6"/>
    <mergeCell ref="R6:R7"/>
    <mergeCell ref="V6:V7"/>
    <mergeCell ref="W6:W7"/>
    <mergeCell ref="X6:X7"/>
    <mergeCell ref="C5:G5"/>
    <mergeCell ref="H5:H7"/>
    <mergeCell ref="I5:J6"/>
    <mergeCell ref="K6:K7"/>
    <mergeCell ref="K5:M5"/>
    <mergeCell ref="Z4:Z7"/>
    <mergeCell ref="N4:Y4"/>
    <mergeCell ref="V5:Y5"/>
    <mergeCell ref="A1:Y1"/>
    <mergeCell ref="A2:Y2"/>
    <mergeCell ref="A4:A7"/>
    <mergeCell ref="B4:B7"/>
    <mergeCell ref="L6:L7"/>
    <mergeCell ref="M6:M7"/>
    <mergeCell ref="C4:M4"/>
    <mergeCell ref="Y6:Y7"/>
  </mergeCells>
  <phoneticPr fontId="2" type="noConversion"/>
  <printOptions horizontalCentered="1"/>
  <pageMargins left="0.39370078740157483" right="0" top="0.39370078740157483" bottom="0" header="0" footer="0"/>
  <pageSetup paperSize="9" scale="80" orientation="landscape" r:id="rId1"/>
  <headerFooter alignWithMargins="0">
    <oddFooter>&amp;C&amp;8&amp;Z&amp;F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C31"/>
  <sheetViews>
    <sheetView zoomScale="90" zoomScaleNormal="90" workbookViewId="0">
      <selection activeCell="S17" sqref="S17"/>
    </sheetView>
  </sheetViews>
  <sheetFormatPr defaultRowHeight="27.75" customHeight="1"/>
  <cols>
    <col min="1" max="1" width="13.85546875" style="25" customWidth="1"/>
    <col min="2" max="5" width="7.7109375" style="25" customWidth="1"/>
    <col min="6" max="6" width="8.28515625" style="25" customWidth="1"/>
    <col min="7" max="7" width="8.140625" style="25" customWidth="1"/>
    <col min="8" max="9" width="7" style="25" customWidth="1"/>
    <col min="10" max="13" width="8.5703125" style="25" customWidth="1"/>
    <col min="14" max="14" width="9.5703125" style="25" customWidth="1"/>
    <col min="15" max="15" width="10.28515625" style="25" customWidth="1"/>
    <col min="16" max="16" width="8.7109375" style="25" customWidth="1"/>
    <col min="17" max="17" width="8.85546875" style="25" customWidth="1"/>
    <col min="18" max="18" width="10.85546875" style="25" customWidth="1"/>
    <col min="19" max="21" width="9.140625" style="25"/>
    <col min="22" max="22" width="11.85546875" style="25" customWidth="1"/>
    <col min="23" max="23" width="14" style="25" customWidth="1"/>
    <col min="24" max="16384" width="9.140625" style="25"/>
  </cols>
  <sheetData>
    <row r="1" spans="1:29" s="100" customFormat="1" ht="18.75" customHeight="1">
      <c r="A1" s="652" t="str">
        <f>'(PA-RA3)_งานวางระบบบัญชี'!A1:L1</f>
        <v>รายละเอียดแผนการปฏิบัติงานและความก้าวหน้าผลการปฏิบัติงาน ณ วันที่  31 มกราคม 2559</v>
      </c>
      <c r="B1" s="652"/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2"/>
      <c r="N1" s="652"/>
      <c r="O1" s="652"/>
      <c r="P1" s="652"/>
      <c r="Q1" s="652"/>
      <c r="R1" s="652"/>
    </row>
    <row r="2" spans="1:29" s="100" customFormat="1" ht="18.75" customHeight="1">
      <c r="A2" s="638" t="s">
        <v>0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</row>
    <row r="3" spans="1:29" s="100" customFormat="1" ht="18.75" customHeight="1">
      <c r="A3" s="154" t="s">
        <v>135</v>
      </c>
    </row>
    <row r="4" spans="1:29" s="83" customFormat="1" ht="24.75" customHeight="1">
      <c r="A4" s="603" t="s">
        <v>13</v>
      </c>
      <c r="B4" s="649" t="s">
        <v>43</v>
      </c>
      <c r="C4" s="649"/>
      <c r="D4" s="649"/>
      <c r="E4" s="649"/>
      <c r="F4" s="649"/>
      <c r="G4" s="649"/>
      <c r="H4" s="649"/>
      <c r="I4" s="649"/>
      <c r="J4" s="649" t="s">
        <v>44</v>
      </c>
      <c r="K4" s="649"/>
      <c r="L4" s="649"/>
      <c r="M4" s="649"/>
      <c r="N4" s="649"/>
      <c r="O4" s="649"/>
      <c r="P4" s="649"/>
      <c r="Q4" s="649"/>
      <c r="R4" s="649"/>
    </row>
    <row r="5" spans="1:29" s="83" customFormat="1" ht="24.75" customHeight="1">
      <c r="A5" s="604"/>
      <c r="B5" s="573" t="s">
        <v>22</v>
      </c>
      <c r="C5" s="574"/>
      <c r="D5" s="574"/>
      <c r="E5" s="574"/>
      <c r="F5" s="574"/>
      <c r="G5" s="575"/>
      <c r="H5" s="578" t="s">
        <v>23</v>
      </c>
      <c r="I5" s="580"/>
      <c r="J5" s="615" t="s">
        <v>45</v>
      </c>
      <c r="K5" s="615"/>
      <c r="L5" s="615"/>
      <c r="M5" s="615"/>
      <c r="N5" s="615"/>
      <c r="O5" s="615"/>
      <c r="P5" s="578" t="s">
        <v>23</v>
      </c>
      <c r="Q5" s="579"/>
      <c r="R5" s="580"/>
    </row>
    <row r="6" spans="1:29" s="83" customFormat="1" ht="24.75" customHeight="1">
      <c r="A6" s="604"/>
      <c r="B6" s="587" t="s">
        <v>1</v>
      </c>
      <c r="C6" s="587"/>
      <c r="D6" s="587"/>
      <c r="E6" s="587"/>
      <c r="F6" s="587" t="s">
        <v>2</v>
      </c>
      <c r="G6" s="653" t="s">
        <v>26</v>
      </c>
      <c r="H6" s="593" t="s">
        <v>33</v>
      </c>
      <c r="I6" s="646" t="s">
        <v>25</v>
      </c>
      <c r="J6" s="615" t="s">
        <v>1</v>
      </c>
      <c r="K6" s="615"/>
      <c r="L6" s="615"/>
      <c r="M6" s="615"/>
      <c r="N6" s="615" t="s">
        <v>2</v>
      </c>
      <c r="O6" s="644" t="s">
        <v>26</v>
      </c>
      <c r="P6" s="650" t="s">
        <v>62</v>
      </c>
      <c r="Q6" s="607" t="s">
        <v>49</v>
      </c>
      <c r="R6" s="602" t="s">
        <v>25</v>
      </c>
      <c r="T6" s="296"/>
      <c r="U6" s="171"/>
      <c r="V6" s="171"/>
    </row>
    <row r="7" spans="1:29" s="83" customFormat="1" ht="24.75" customHeight="1">
      <c r="A7" s="604"/>
      <c r="B7" s="141">
        <v>1</v>
      </c>
      <c r="C7" s="141">
        <v>2</v>
      </c>
      <c r="D7" s="141">
        <v>3</v>
      </c>
      <c r="E7" s="141">
        <v>4</v>
      </c>
      <c r="F7" s="615"/>
      <c r="G7" s="577"/>
      <c r="H7" s="594"/>
      <c r="I7" s="622"/>
      <c r="J7" s="141">
        <v>1</v>
      </c>
      <c r="K7" s="141">
        <v>2</v>
      </c>
      <c r="L7" s="141">
        <v>3</v>
      </c>
      <c r="M7" s="141">
        <v>4</v>
      </c>
      <c r="N7" s="615"/>
      <c r="O7" s="644"/>
      <c r="P7" s="651"/>
      <c r="Q7" s="607"/>
      <c r="R7" s="602"/>
      <c r="U7" s="171"/>
      <c r="V7" s="171"/>
      <c r="X7" s="239"/>
    </row>
    <row r="8" spans="1:29" s="100" customFormat="1" ht="22.5" customHeight="1">
      <c r="A8" s="155" t="s">
        <v>6</v>
      </c>
      <c r="B8" s="64"/>
      <c r="C8" s="64"/>
      <c r="D8" s="64"/>
      <c r="E8" s="64">
        <f>1+0+0</f>
        <v>1</v>
      </c>
      <c r="F8" s="235">
        <f>SUM(B8:E8)</f>
        <v>1</v>
      </c>
      <c r="G8" s="172"/>
      <c r="H8" s="168"/>
      <c r="I8" s="173"/>
      <c r="J8" s="64"/>
      <c r="K8" s="64">
        <f>0+1+0</f>
        <v>1</v>
      </c>
      <c r="L8" s="64">
        <f>2+1+2</f>
        <v>5</v>
      </c>
      <c r="M8" s="64">
        <f>4+2+1</f>
        <v>7</v>
      </c>
      <c r="N8" s="233">
        <f>SUM(J8:M8)</f>
        <v>13</v>
      </c>
      <c r="O8" s="172"/>
      <c r="P8" s="172"/>
      <c r="Q8" s="168"/>
      <c r="R8" s="174"/>
      <c r="U8" s="175"/>
      <c r="V8" s="175"/>
    </row>
    <row r="9" spans="1:29" s="100" customFormat="1" ht="22.5" customHeight="1">
      <c r="A9" s="156" t="s">
        <v>7</v>
      </c>
      <c r="B9" s="65"/>
      <c r="C9" s="65"/>
      <c r="D9" s="65">
        <f>0+0+1</f>
        <v>1</v>
      </c>
      <c r="E9" s="65"/>
      <c r="F9" s="236">
        <f t="shared" ref="F9:F13" si="0">SUM(B9:E9)</f>
        <v>1</v>
      </c>
      <c r="G9" s="157"/>
      <c r="H9" s="286"/>
      <c r="I9" s="159"/>
      <c r="J9" s="65"/>
      <c r="K9" s="65"/>
      <c r="L9" s="65"/>
      <c r="M9" s="65">
        <f>0+0+10</f>
        <v>10</v>
      </c>
      <c r="N9" s="234">
        <f>SUM(J9:M9)</f>
        <v>10</v>
      </c>
      <c r="O9" s="172"/>
      <c r="P9" s="172"/>
      <c r="Q9" s="286"/>
      <c r="R9" s="176"/>
      <c r="U9" s="175"/>
      <c r="V9" s="175"/>
    </row>
    <row r="10" spans="1:29" s="100" customFormat="1" ht="22.5" customHeight="1">
      <c r="A10" s="156" t="s">
        <v>8</v>
      </c>
      <c r="B10" s="65"/>
      <c r="C10" s="65"/>
      <c r="D10" s="65">
        <f>0+0+1</f>
        <v>1</v>
      </c>
      <c r="E10" s="65"/>
      <c r="F10" s="236">
        <f t="shared" si="0"/>
        <v>1</v>
      </c>
      <c r="G10" s="157"/>
      <c r="H10" s="168"/>
      <c r="I10" s="159"/>
      <c r="J10" s="65"/>
      <c r="K10" s="65">
        <f>0+1+0</f>
        <v>1</v>
      </c>
      <c r="L10" s="65">
        <f>0+2+0</f>
        <v>2</v>
      </c>
      <c r="M10" s="65">
        <f>0+0+10</f>
        <v>10</v>
      </c>
      <c r="N10" s="234">
        <f t="shared" ref="N10:N14" si="1">SUM(J10:M10)</f>
        <v>13</v>
      </c>
      <c r="O10" s="172"/>
      <c r="P10" s="172"/>
      <c r="Q10" s="286"/>
      <c r="R10" s="176"/>
      <c r="U10" s="175"/>
      <c r="V10" s="175"/>
    </row>
    <row r="11" spans="1:29" s="161" customFormat="1" ht="22.5" customHeight="1">
      <c r="A11" s="160" t="s">
        <v>9</v>
      </c>
      <c r="B11" s="66"/>
      <c r="C11" s="66"/>
      <c r="D11" s="66"/>
      <c r="E11" s="66">
        <f>1+0+0</f>
        <v>1</v>
      </c>
      <c r="F11" s="237">
        <f t="shared" si="0"/>
        <v>1</v>
      </c>
      <c r="G11" s="157"/>
      <c r="H11" s="286"/>
      <c r="I11" s="159"/>
      <c r="J11" s="66"/>
      <c r="K11" s="66"/>
      <c r="L11" s="66">
        <f>0+0+2</f>
        <v>2</v>
      </c>
      <c r="M11" s="66">
        <f>0+4+8</f>
        <v>12</v>
      </c>
      <c r="N11" s="234">
        <f t="shared" si="1"/>
        <v>14</v>
      </c>
      <c r="O11" s="172"/>
      <c r="P11" s="172"/>
      <c r="Q11" s="286"/>
      <c r="R11" s="176"/>
      <c r="S11" s="83"/>
      <c r="T11" s="83"/>
      <c r="U11" s="171"/>
      <c r="V11" s="171"/>
      <c r="W11" s="83"/>
      <c r="X11" s="83"/>
      <c r="Y11" s="83"/>
      <c r="Z11" s="83"/>
      <c r="AA11" s="83"/>
      <c r="AB11" s="83"/>
      <c r="AC11" s="83"/>
    </row>
    <row r="12" spans="1:29" s="100" customFormat="1" ht="22.5" customHeight="1">
      <c r="A12" s="156" t="s">
        <v>10</v>
      </c>
      <c r="B12" s="65"/>
      <c r="C12" s="65"/>
      <c r="D12" s="65">
        <f>0+0+1</f>
        <v>1</v>
      </c>
      <c r="E12" s="65"/>
      <c r="F12" s="236">
        <f t="shared" si="0"/>
        <v>1</v>
      </c>
      <c r="G12" s="157"/>
      <c r="H12" s="286"/>
      <c r="I12" s="159"/>
      <c r="J12" s="65"/>
      <c r="K12" s="65">
        <f>1+0+0</f>
        <v>1</v>
      </c>
      <c r="L12" s="65">
        <f>0+1+1</f>
        <v>2</v>
      </c>
      <c r="M12" s="65">
        <f>1+0+7</f>
        <v>8</v>
      </c>
      <c r="N12" s="234">
        <f t="shared" si="1"/>
        <v>11</v>
      </c>
      <c r="O12" s="172">
        <v>1</v>
      </c>
      <c r="P12" s="172">
        <v>1</v>
      </c>
      <c r="Q12" s="286">
        <v>1</v>
      </c>
      <c r="R12" s="176">
        <f>Q12*100/O12</f>
        <v>100</v>
      </c>
      <c r="U12" s="175"/>
      <c r="V12" s="175"/>
    </row>
    <row r="13" spans="1:29" s="100" customFormat="1" ht="22.5" customHeight="1">
      <c r="A13" s="156" t="s">
        <v>11</v>
      </c>
      <c r="B13" s="65"/>
      <c r="C13" s="65"/>
      <c r="D13" s="65"/>
      <c r="E13" s="65">
        <f>1+0+0</f>
        <v>1</v>
      </c>
      <c r="F13" s="236">
        <f t="shared" si="0"/>
        <v>1</v>
      </c>
      <c r="G13" s="157"/>
      <c r="H13" s="168"/>
      <c r="I13" s="159"/>
      <c r="J13" s="65"/>
      <c r="K13" s="65"/>
      <c r="L13" s="65">
        <f>0+2+2</f>
        <v>4</v>
      </c>
      <c r="M13" s="65">
        <f>4+12+4</f>
        <v>20</v>
      </c>
      <c r="N13" s="234">
        <f t="shared" si="1"/>
        <v>24</v>
      </c>
      <c r="O13" s="172"/>
      <c r="P13" s="172"/>
      <c r="Q13" s="286"/>
      <c r="R13" s="176"/>
      <c r="U13" s="175"/>
      <c r="V13" s="175"/>
    </row>
    <row r="14" spans="1:29" s="100" customFormat="1" ht="22.5" customHeight="1">
      <c r="A14" s="163" t="s">
        <v>12</v>
      </c>
      <c r="B14" s="67"/>
      <c r="C14" s="67"/>
      <c r="D14" s="67">
        <f>0+0+1</f>
        <v>1</v>
      </c>
      <c r="E14" s="67"/>
      <c r="F14" s="238">
        <f>SUM(B14:E14)</f>
        <v>1</v>
      </c>
      <c r="G14" s="157"/>
      <c r="H14" s="307"/>
      <c r="I14" s="159"/>
      <c r="J14" s="67"/>
      <c r="K14" s="67"/>
      <c r="L14" s="67">
        <f>0+1+1</f>
        <v>2</v>
      </c>
      <c r="M14" s="67">
        <f>0+3+5</f>
        <v>8</v>
      </c>
      <c r="N14" s="234">
        <f t="shared" si="1"/>
        <v>10</v>
      </c>
      <c r="O14" s="165"/>
      <c r="P14" s="165"/>
      <c r="Q14" s="307"/>
      <c r="R14" s="177"/>
      <c r="U14" s="175"/>
      <c r="V14" s="175"/>
    </row>
    <row r="15" spans="1:29" s="83" customFormat="1" ht="23.25" customHeight="1">
      <c r="A15" s="164" t="s">
        <v>5</v>
      </c>
      <c r="B15" s="63"/>
      <c r="C15" s="63"/>
      <c r="D15" s="38">
        <f t="shared" ref="D15:E15" si="2">SUM(D8:D14)</f>
        <v>4</v>
      </c>
      <c r="E15" s="38">
        <f t="shared" si="2"/>
        <v>3</v>
      </c>
      <c r="F15" s="38">
        <f>SUM(F8:F14)</f>
        <v>7</v>
      </c>
      <c r="G15" s="37"/>
      <c r="H15" s="22"/>
      <c r="I15" s="45"/>
      <c r="J15" s="37">
        <f t="shared" ref="J15:M15" si="3">SUM(J8:J14)</f>
        <v>0</v>
      </c>
      <c r="K15" s="38">
        <f t="shared" si="3"/>
        <v>3</v>
      </c>
      <c r="L15" s="38">
        <f t="shared" si="3"/>
        <v>17</v>
      </c>
      <c r="M15" s="38">
        <f t="shared" si="3"/>
        <v>75</v>
      </c>
      <c r="N15" s="38">
        <f>SUM(N8:N14)</f>
        <v>95</v>
      </c>
      <c r="O15" s="37">
        <f t="shared" ref="O15" si="4">SUM(O8:O14)</f>
        <v>1</v>
      </c>
      <c r="P15" s="71">
        <f>SUM(P8:P14)</f>
        <v>1</v>
      </c>
      <c r="Q15" s="302">
        <f>SUM(Q8:Q14)</f>
        <v>1</v>
      </c>
      <c r="R15" s="54">
        <f>Q15*100/O15</f>
        <v>100</v>
      </c>
      <c r="U15" s="171"/>
      <c r="V15" s="171"/>
    </row>
    <row r="16" spans="1:29" ht="17.25" customHeight="1"/>
    <row r="17" spans="1:21" ht="26.25" customHeight="1">
      <c r="A17" s="169"/>
      <c r="B17" s="50"/>
      <c r="J17" s="648"/>
      <c r="K17" s="648"/>
      <c r="L17" s="50"/>
      <c r="U17" s="304"/>
    </row>
    <row r="18" spans="1:21" ht="17.25" customHeight="1" thickBot="1"/>
    <row r="19" spans="1:21" ht="18" customHeight="1">
      <c r="A19" s="401" t="s">
        <v>37</v>
      </c>
      <c r="B19" s="179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253"/>
    </row>
    <row r="20" spans="1:21" ht="18" customHeight="1">
      <c r="A20" s="391" t="s">
        <v>34</v>
      </c>
      <c r="B20" s="361" t="s">
        <v>146</v>
      </c>
      <c r="C20" s="353"/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353"/>
      <c r="O20" s="58"/>
      <c r="P20" s="58"/>
      <c r="Q20" s="58"/>
      <c r="R20" s="254"/>
    </row>
    <row r="21" spans="1:21" ht="18" customHeight="1">
      <c r="A21" s="391"/>
      <c r="B21" s="361" t="s">
        <v>149</v>
      </c>
      <c r="C21" s="363"/>
      <c r="D21" s="363"/>
      <c r="E21" s="363"/>
      <c r="F21" s="364"/>
      <c r="G21" s="364"/>
      <c r="H21" s="353"/>
      <c r="I21" s="353"/>
      <c r="J21" s="353"/>
      <c r="K21" s="353"/>
      <c r="L21" s="353"/>
      <c r="M21" s="353"/>
      <c r="N21" s="353"/>
      <c r="O21" s="353" t="s">
        <v>147</v>
      </c>
      <c r="P21" s="58"/>
      <c r="Q21" s="58"/>
      <c r="R21" s="254"/>
    </row>
    <row r="22" spans="1:21" ht="18" customHeight="1">
      <c r="A22" s="391"/>
      <c r="B22" s="361" t="s">
        <v>148</v>
      </c>
      <c r="C22" s="363" t="s">
        <v>150</v>
      </c>
      <c r="D22" s="363"/>
      <c r="E22" s="363"/>
      <c r="F22" s="364"/>
      <c r="G22" s="364"/>
      <c r="H22" s="353"/>
      <c r="I22" s="353"/>
      <c r="J22" s="353"/>
      <c r="K22" s="353"/>
      <c r="L22" s="353"/>
      <c r="M22" s="353"/>
      <c r="N22" s="353"/>
      <c r="O22" s="353"/>
      <c r="P22" s="58"/>
      <c r="Q22" s="58"/>
      <c r="R22" s="254"/>
    </row>
    <row r="23" spans="1:21" ht="18" customHeight="1">
      <c r="A23" s="391"/>
      <c r="B23" s="361" t="s">
        <v>151</v>
      </c>
      <c r="C23" s="363"/>
      <c r="D23" s="363"/>
      <c r="E23" s="363"/>
      <c r="F23" s="364"/>
      <c r="G23" s="364"/>
      <c r="H23" s="353"/>
      <c r="I23" s="353"/>
      <c r="J23" s="353"/>
      <c r="K23" s="353"/>
      <c r="L23" s="353"/>
      <c r="M23" s="353"/>
      <c r="N23" s="353"/>
      <c r="O23" s="353" t="s">
        <v>153</v>
      </c>
      <c r="P23" s="58"/>
      <c r="Q23" s="58"/>
      <c r="R23" s="254"/>
    </row>
    <row r="24" spans="1:21" ht="18" customHeight="1">
      <c r="A24" s="391"/>
      <c r="B24" s="361" t="s">
        <v>27</v>
      </c>
      <c r="C24" s="363" t="s">
        <v>152</v>
      </c>
      <c r="D24" s="363"/>
      <c r="E24" s="363"/>
      <c r="F24" s="364"/>
      <c r="G24" s="364"/>
      <c r="H24" s="353"/>
      <c r="I24" s="353"/>
      <c r="J24" s="353"/>
      <c r="K24" s="353"/>
      <c r="L24" s="353"/>
      <c r="M24" s="353"/>
      <c r="N24" s="353"/>
      <c r="O24" s="353" t="s">
        <v>157</v>
      </c>
      <c r="P24" s="58"/>
      <c r="Q24" s="58"/>
      <c r="R24" s="254"/>
    </row>
    <row r="25" spans="1:21" ht="18" customHeight="1">
      <c r="A25" s="391"/>
      <c r="B25" s="361"/>
      <c r="C25" s="363"/>
      <c r="D25" s="363"/>
      <c r="E25" s="363"/>
      <c r="F25" s="364"/>
      <c r="G25" s="364"/>
      <c r="H25" s="353"/>
      <c r="I25" s="353"/>
      <c r="J25" s="353"/>
      <c r="K25" s="353"/>
      <c r="L25" s="353"/>
      <c r="M25" s="353"/>
      <c r="N25" s="353"/>
      <c r="O25" s="353"/>
      <c r="P25" s="58"/>
      <c r="Q25" s="58"/>
      <c r="R25" s="254"/>
    </row>
    <row r="26" spans="1:21" ht="18" customHeight="1">
      <c r="A26" s="391"/>
      <c r="B26" s="361" t="s">
        <v>155</v>
      </c>
      <c r="C26" s="363"/>
      <c r="D26" s="363"/>
      <c r="E26" s="363"/>
      <c r="F26" s="364"/>
      <c r="G26" s="364"/>
      <c r="H26" s="353"/>
      <c r="I26" s="353"/>
      <c r="J26" s="353"/>
      <c r="K26" s="353"/>
      <c r="L26" s="353"/>
      <c r="M26" s="353"/>
      <c r="N26" s="353"/>
      <c r="O26" s="353" t="s">
        <v>156</v>
      </c>
      <c r="P26" s="58"/>
      <c r="Q26" s="58"/>
      <c r="R26" s="254"/>
    </row>
    <row r="27" spans="1:21" ht="18" customHeight="1">
      <c r="A27" s="391"/>
      <c r="B27" s="361"/>
      <c r="C27" s="363" t="s">
        <v>154</v>
      </c>
      <c r="D27" s="363"/>
      <c r="E27" s="363"/>
      <c r="F27" s="364"/>
      <c r="G27" s="364"/>
      <c r="H27" s="353"/>
      <c r="I27" s="353"/>
      <c r="J27" s="353"/>
      <c r="K27" s="353"/>
      <c r="L27" s="353"/>
      <c r="M27" s="353"/>
      <c r="N27" s="353"/>
      <c r="O27" s="353"/>
      <c r="P27" s="58"/>
      <c r="Q27" s="58"/>
      <c r="R27" s="254"/>
    </row>
    <row r="28" spans="1:21" ht="4.5" customHeight="1" thickBot="1">
      <c r="A28" s="181"/>
      <c r="B28" s="61" t="s">
        <v>46</v>
      </c>
      <c r="C28" s="62"/>
      <c r="D28" s="62"/>
      <c r="E28" s="62"/>
      <c r="F28" s="62"/>
      <c r="G28" s="62"/>
      <c r="H28" s="62"/>
      <c r="I28" s="61"/>
      <c r="J28" s="61"/>
      <c r="K28" s="61"/>
      <c r="L28" s="61"/>
      <c r="M28" s="61"/>
      <c r="N28" s="61"/>
      <c r="O28" s="61"/>
      <c r="P28" s="61"/>
      <c r="Q28" s="61"/>
      <c r="R28" s="255"/>
    </row>
    <row r="29" spans="1:21" ht="18" customHeight="1"/>
    <row r="30" spans="1:21" ht="18" customHeight="1"/>
    <row r="31" spans="1:21" ht="18" customHeight="1"/>
  </sheetData>
  <mergeCells count="21">
    <mergeCell ref="A1:R1"/>
    <mergeCell ref="A2:R2"/>
    <mergeCell ref="Q6:Q7"/>
    <mergeCell ref="R6:R7"/>
    <mergeCell ref="J5:O5"/>
    <mergeCell ref="J6:M6"/>
    <mergeCell ref="N6:N7"/>
    <mergeCell ref="O6:O7"/>
    <mergeCell ref="B5:G5"/>
    <mergeCell ref="G6:G7"/>
    <mergeCell ref="A4:A7"/>
    <mergeCell ref="J17:K17"/>
    <mergeCell ref="B6:E6"/>
    <mergeCell ref="F6:F7"/>
    <mergeCell ref="B4:I4"/>
    <mergeCell ref="J4:R4"/>
    <mergeCell ref="P5:R5"/>
    <mergeCell ref="P6:P7"/>
    <mergeCell ref="H5:I5"/>
    <mergeCell ref="H6:H7"/>
    <mergeCell ref="I6:I7"/>
  </mergeCells>
  <printOptions horizontalCentered="1"/>
  <pageMargins left="0.15748031496062992" right="0" top="0.19685039370078741" bottom="0" header="0" footer="0"/>
  <pageSetup paperSize="9" scale="90" orientation="landscape" r:id="rId1"/>
  <headerFooter alignWithMargins="0">
    <oddFooter>&amp;C&amp;8&amp;Z&amp;F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19"/>
  <sheetViews>
    <sheetView zoomScale="90" zoomScaleNormal="90" workbookViewId="0">
      <selection activeCell="M9" sqref="M9"/>
    </sheetView>
  </sheetViews>
  <sheetFormatPr defaultRowHeight="27.75" customHeight="1"/>
  <cols>
    <col min="1" max="1" width="31.140625" style="25" customWidth="1"/>
    <col min="2" max="3" width="5.140625" style="25" customWidth="1"/>
    <col min="4" max="4" width="5.28515625" style="25" customWidth="1"/>
    <col min="5" max="5" width="6.28515625" style="25" customWidth="1"/>
    <col min="6" max="6" width="5.28515625" style="25" customWidth="1"/>
    <col min="7" max="7" width="6.7109375" style="25" customWidth="1"/>
    <col min="8" max="9" width="5.7109375" style="25" customWidth="1"/>
    <col min="10" max="10" width="5.28515625" style="25" customWidth="1"/>
    <col min="11" max="11" width="6.140625" style="25" customWidth="1"/>
    <col min="12" max="12" width="8" style="25" customWidth="1"/>
    <col min="13" max="13" width="7.140625" style="25" customWidth="1"/>
    <col min="14" max="14" width="5.85546875" style="25" customWidth="1"/>
    <col min="15" max="15" width="5.5703125" style="25" customWidth="1"/>
    <col min="16" max="16" width="7.85546875" style="25" customWidth="1"/>
    <col min="17" max="17" width="6.5703125" style="25" customWidth="1"/>
    <col min="18" max="18" width="7" style="25" customWidth="1"/>
    <col min="19" max="19" width="6.5703125" style="25" customWidth="1"/>
    <col min="20" max="21" width="5.28515625" style="25" customWidth="1"/>
    <col min="22" max="22" width="6" style="25" customWidth="1"/>
    <col min="23" max="23" width="6.5703125" style="25" customWidth="1"/>
    <col min="24" max="25" width="7.85546875" style="25" customWidth="1"/>
    <col min="26" max="16384" width="9.140625" style="25"/>
  </cols>
  <sheetData>
    <row r="1" spans="1:28" s="100" customFormat="1" ht="24" customHeight="1">
      <c r="A1" s="638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638"/>
    </row>
    <row r="2" spans="1:28" s="100" customFormat="1" ht="24" customHeight="1">
      <c r="A2" s="638" t="s">
        <v>0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</row>
    <row r="3" spans="1:28" s="100" customFormat="1" ht="28.5" customHeight="1">
      <c r="A3" s="154" t="s">
        <v>158</v>
      </c>
    </row>
    <row r="4" spans="1:28" s="83" customFormat="1" ht="28.5" customHeight="1">
      <c r="A4" s="603" t="s">
        <v>13</v>
      </c>
      <c r="B4" s="624" t="s">
        <v>47</v>
      </c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6"/>
    </row>
    <row r="5" spans="1:28" s="83" customFormat="1" ht="28.5" customHeight="1">
      <c r="A5" s="604"/>
      <c r="B5" s="649" t="s">
        <v>70</v>
      </c>
      <c r="C5" s="649"/>
      <c r="D5" s="649"/>
      <c r="E5" s="649"/>
      <c r="F5" s="649"/>
      <c r="G5" s="649"/>
      <c r="H5" s="624" t="s">
        <v>48</v>
      </c>
      <c r="I5" s="625"/>
      <c r="J5" s="625"/>
      <c r="K5" s="625"/>
      <c r="L5" s="625"/>
      <c r="M5" s="626"/>
      <c r="N5" s="624" t="s">
        <v>50</v>
      </c>
      <c r="O5" s="625"/>
      <c r="P5" s="625"/>
      <c r="Q5" s="625"/>
      <c r="R5" s="625"/>
      <c r="S5" s="626"/>
      <c r="T5" s="624" t="s">
        <v>51</v>
      </c>
      <c r="U5" s="625"/>
      <c r="V5" s="625"/>
      <c r="W5" s="625"/>
      <c r="X5" s="625"/>
      <c r="Y5" s="626"/>
    </row>
    <row r="6" spans="1:28" s="83" customFormat="1" ht="28.5" customHeight="1">
      <c r="A6" s="604"/>
      <c r="B6" s="573" t="s">
        <v>22</v>
      </c>
      <c r="C6" s="574"/>
      <c r="D6" s="574"/>
      <c r="E6" s="575"/>
      <c r="F6" s="654" t="s">
        <v>23</v>
      </c>
      <c r="G6" s="655"/>
      <c r="H6" s="573" t="s">
        <v>4</v>
      </c>
      <c r="I6" s="574"/>
      <c r="J6" s="574"/>
      <c r="K6" s="575"/>
      <c r="L6" s="654" t="s">
        <v>23</v>
      </c>
      <c r="M6" s="655"/>
      <c r="N6" s="573" t="s">
        <v>45</v>
      </c>
      <c r="O6" s="574"/>
      <c r="P6" s="574"/>
      <c r="Q6" s="575"/>
      <c r="R6" s="654" t="s">
        <v>23</v>
      </c>
      <c r="S6" s="655"/>
      <c r="T6" s="573" t="s">
        <v>45</v>
      </c>
      <c r="U6" s="574"/>
      <c r="V6" s="574"/>
      <c r="W6" s="575"/>
      <c r="X6" s="654" t="s">
        <v>23</v>
      </c>
      <c r="Y6" s="655"/>
    </row>
    <row r="7" spans="1:28" s="83" customFormat="1" ht="28.5" customHeight="1">
      <c r="A7" s="604"/>
      <c r="B7" s="587" t="s">
        <v>1</v>
      </c>
      <c r="C7" s="587"/>
      <c r="D7" s="587" t="s">
        <v>2</v>
      </c>
      <c r="E7" s="653" t="s">
        <v>26</v>
      </c>
      <c r="F7" s="621"/>
      <c r="G7" s="622"/>
      <c r="H7" s="587" t="s">
        <v>1</v>
      </c>
      <c r="I7" s="587"/>
      <c r="J7" s="587" t="s">
        <v>2</v>
      </c>
      <c r="K7" s="653" t="s">
        <v>26</v>
      </c>
      <c r="L7" s="621"/>
      <c r="M7" s="622"/>
      <c r="N7" s="587" t="s">
        <v>1</v>
      </c>
      <c r="O7" s="587"/>
      <c r="P7" s="586" t="s">
        <v>2</v>
      </c>
      <c r="Q7" s="653" t="s">
        <v>26</v>
      </c>
      <c r="R7" s="621"/>
      <c r="S7" s="622"/>
      <c r="T7" s="587" t="s">
        <v>1</v>
      </c>
      <c r="U7" s="587"/>
      <c r="V7" s="587" t="s">
        <v>2</v>
      </c>
      <c r="W7" s="653" t="s">
        <v>26</v>
      </c>
      <c r="X7" s="621"/>
      <c r="Y7" s="622"/>
    </row>
    <row r="8" spans="1:28" s="83" customFormat="1" ht="28.5" customHeight="1">
      <c r="A8" s="605"/>
      <c r="B8" s="141">
        <v>1</v>
      </c>
      <c r="C8" s="141">
        <v>2</v>
      </c>
      <c r="D8" s="615"/>
      <c r="E8" s="577"/>
      <c r="F8" s="142" t="s">
        <v>33</v>
      </c>
      <c r="G8" s="140" t="s">
        <v>25</v>
      </c>
      <c r="H8" s="141">
        <v>1</v>
      </c>
      <c r="I8" s="141">
        <v>2</v>
      </c>
      <c r="J8" s="615"/>
      <c r="K8" s="577"/>
      <c r="L8" s="142" t="s">
        <v>21</v>
      </c>
      <c r="M8" s="140" t="s">
        <v>25</v>
      </c>
      <c r="N8" s="141">
        <v>3</v>
      </c>
      <c r="O8" s="141">
        <v>4</v>
      </c>
      <c r="P8" s="587"/>
      <c r="Q8" s="577"/>
      <c r="R8" s="142" t="s">
        <v>21</v>
      </c>
      <c r="S8" s="140" t="s">
        <v>25</v>
      </c>
      <c r="T8" s="141">
        <v>3</v>
      </c>
      <c r="U8" s="141">
        <v>4</v>
      </c>
      <c r="V8" s="615"/>
      <c r="W8" s="577"/>
      <c r="X8" s="142" t="s">
        <v>21</v>
      </c>
      <c r="Y8" s="140" t="s">
        <v>25</v>
      </c>
    </row>
    <row r="9" spans="1:28" s="100" customFormat="1" ht="66" customHeight="1">
      <c r="A9" s="170" t="s">
        <v>274</v>
      </c>
      <c r="B9" s="65"/>
      <c r="C9" s="65">
        <f>0+0+1</f>
        <v>1</v>
      </c>
      <c r="D9" s="65">
        <v>1</v>
      </c>
      <c r="E9" s="157"/>
      <c r="F9" s="168"/>
      <c r="G9" s="159"/>
      <c r="H9" s="65"/>
      <c r="I9" s="65">
        <f>0+0+1</f>
        <v>1</v>
      </c>
      <c r="J9" s="65">
        <v>1</v>
      </c>
      <c r="K9" s="157"/>
      <c r="L9" s="168"/>
      <c r="M9" s="159"/>
      <c r="N9" s="65">
        <f>0+0+1</f>
        <v>1</v>
      </c>
      <c r="O9" s="65"/>
      <c r="P9" s="65">
        <v>1</v>
      </c>
      <c r="Q9" s="157"/>
      <c r="R9" s="168"/>
      <c r="S9" s="159"/>
      <c r="T9" s="65"/>
      <c r="U9" s="65">
        <f>0+1+0</f>
        <v>1</v>
      </c>
      <c r="V9" s="65">
        <v>1</v>
      </c>
      <c r="W9" s="157"/>
      <c r="X9" s="168"/>
      <c r="Y9" s="159"/>
    </row>
    <row r="10" spans="1:28" s="83" customFormat="1" ht="31.5" customHeight="1">
      <c r="A10" s="164" t="s">
        <v>5</v>
      </c>
      <c r="B10" s="38"/>
      <c r="C10" s="38">
        <f>SUM(C9)</f>
        <v>1</v>
      </c>
      <c r="D10" s="38">
        <v>1</v>
      </c>
      <c r="E10" s="37"/>
      <c r="F10" s="37"/>
      <c r="G10" s="37"/>
      <c r="H10" s="38"/>
      <c r="I10" s="38">
        <f>SUM(I9)</f>
        <v>1</v>
      </c>
      <c r="J10" s="38">
        <v>1</v>
      </c>
      <c r="K10" s="37"/>
      <c r="L10" s="37"/>
      <c r="M10" s="240"/>
      <c r="N10" s="38">
        <v>1</v>
      </c>
      <c r="O10" s="38"/>
      <c r="P10" s="38">
        <v>1</v>
      </c>
      <c r="Q10" s="37"/>
      <c r="R10" s="37"/>
      <c r="S10" s="45"/>
      <c r="T10" s="38"/>
      <c r="U10" s="38">
        <v>1</v>
      </c>
      <c r="V10" s="38">
        <v>1</v>
      </c>
      <c r="W10" s="37"/>
      <c r="X10" s="22"/>
      <c r="Y10" s="45"/>
    </row>
    <row r="12" spans="1:28" ht="27.75" customHeight="1">
      <c r="A12" s="169"/>
      <c r="B12" s="50"/>
    </row>
    <row r="13" spans="1:28" ht="27.75" customHeight="1" thickBot="1"/>
    <row r="14" spans="1:28" ht="20.25" customHeight="1">
      <c r="A14" s="401" t="s">
        <v>37</v>
      </c>
      <c r="B14" s="179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253"/>
      <c r="AB14" s="366"/>
    </row>
    <row r="15" spans="1:28" ht="20.25" customHeight="1">
      <c r="A15" s="391" t="s">
        <v>34</v>
      </c>
      <c r="B15" s="361" t="s">
        <v>160</v>
      </c>
      <c r="C15" s="353"/>
      <c r="D15" s="353"/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3"/>
      <c r="Q15" s="353"/>
      <c r="R15" s="353"/>
      <c r="S15" s="353"/>
      <c r="U15" s="366"/>
      <c r="V15" s="656" t="s">
        <v>156</v>
      </c>
      <c r="W15" s="656"/>
      <c r="X15" s="656"/>
      <c r="Y15" s="254"/>
    </row>
    <row r="16" spans="1:28" ht="20.25" customHeight="1">
      <c r="A16" s="354" t="s">
        <v>159</v>
      </c>
      <c r="B16" s="361" t="s">
        <v>161</v>
      </c>
      <c r="C16" s="363"/>
      <c r="D16" s="364"/>
      <c r="E16" s="364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66"/>
      <c r="U16" s="366"/>
      <c r="V16" s="656"/>
      <c r="W16" s="656"/>
      <c r="X16" s="656"/>
      <c r="Y16" s="254"/>
    </row>
    <row r="17" spans="1:25" ht="20.25" customHeight="1">
      <c r="A17" s="391"/>
      <c r="B17" s="361" t="s">
        <v>162</v>
      </c>
      <c r="C17" s="363"/>
      <c r="D17" s="364"/>
      <c r="E17" s="364"/>
      <c r="F17" s="353"/>
      <c r="G17" s="353"/>
      <c r="H17" s="353"/>
      <c r="I17" s="353"/>
      <c r="J17" s="353"/>
      <c r="K17" s="353"/>
      <c r="L17" s="353"/>
      <c r="M17" s="353"/>
      <c r="N17" s="353"/>
      <c r="O17" s="353"/>
      <c r="P17" s="353"/>
      <c r="Q17" s="353"/>
      <c r="R17" s="353"/>
      <c r="S17" s="353"/>
      <c r="T17" s="366"/>
      <c r="U17" s="366"/>
      <c r="V17" s="656"/>
      <c r="W17" s="656"/>
      <c r="X17" s="656"/>
      <c r="Y17" s="254"/>
    </row>
    <row r="18" spans="1:25" ht="20.25" customHeight="1">
      <c r="A18" s="391"/>
      <c r="B18" s="361" t="s">
        <v>163</v>
      </c>
      <c r="C18" s="363"/>
      <c r="D18" s="364"/>
      <c r="E18" s="364"/>
      <c r="F18" s="353"/>
      <c r="G18" s="353"/>
      <c r="H18" s="353"/>
      <c r="I18" s="353"/>
      <c r="J18" s="353"/>
      <c r="K18" s="353"/>
      <c r="L18" s="353"/>
      <c r="M18" s="353"/>
      <c r="N18" s="353"/>
      <c r="O18" s="353"/>
      <c r="P18" s="353"/>
      <c r="Q18" s="353"/>
      <c r="R18" s="353"/>
      <c r="S18" s="353"/>
      <c r="T18" s="366"/>
      <c r="U18" s="366"/>
      <c r="V18" s="656"/>
      <c r="W18" s="656"/>
      <c r="X18" s="656"/>
      <c r="Y18" s="254"/>
    </row>
    <row r="19" spans="1:25" ht="12.75" customHeight="1" thickBot="1">
      <c r="A19" s="181"/>
      <c r="B19" s="61"/>
      <c r="C19" s="62"/>
      <c r="D19" s="62"/>
      <c r="E19" s="62"/>
      <c r="F19" s="62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255"/>
    </row>
  </sheetData>
  <mergeCells count="29">
    <mergeCell ref="V15:X18"/>
    <mergeCell ref="B4:Y4"/>
    <mergeCell ref="D7:D8"/>
    <mergeCell ref="E7:E8"/>
    <mergeCell ref="H7:I7"/>
    <mergeCell ref="J7:J8"/>
    <mergeCell ref="K7:K8"/>
    <mergeCell ref="B5:G5"/>
    <mergeCell ref="H5:M5"/>
    <mergeCell ref="B6:E6"/>
    <mergeCell ref="F6:G7"/>
    <mergeCell ref="H6:K6"/>
    <mergeCell ref="L6:M7"/>
    <mergeCell ref="B7:C7"/>
    <mergeCell ref="A1:Y1"/>
    <mergeCell ref="A2:Y2"/>
    <mergeCell ref="N5:S5"/>
    <mergeCell ref="T5:Y5"/>
    <mergeCell ref="T6:W6"/>
    <mergeCell ref="X6:Y7"/>
    <mergeCell ref="T7:U7"/>
    <mergeCell ref="V7:V8"/>
    <mergeCell ref="W7:W8"/>
    <mergeCell ref="N6:Q6"/>
    <mergeCell ref="R6:S7"/>
    <mergeCell ref="N7:O7"/>
    <mergeCell ref="P7:P8"/>
    <mergeCell ref="Q7:Q8"/>
    <mergeCell ref="A4:A8"/>
  </mergeCells>
  <printOptions horizontalCentered="1"/>
  <pageMargins left="0" right="0" top="0.31496062992125984" bottom="0" header="0" footer="0"/>
  <pageSetup paperSize="9" scale="80" orientation="landscape" r:id="rId1"/>
  <headerFooter alignWithMargins="0">
    <oddFooter>&amp;C&amp;8&amp;Z&amp;F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H43"/>
  <sheetViews>
    <sheetView workbookViewId="0">
      <selection activeCell="Q26" sqref="Q26"/>
    </sheetView>
  </sheetViews>
  <sheetFormatPr defaultRowHeight="27.75" customHeight="1"/>
  <cols>
    <col min="1" max="1" width="10.5703125" style="201" customWidth="1"/>
    <col min="2" max="2" width="9" style="201" customWidth="1"/>
    <col min="3" max="7" width="5" style="201" hidden="1" customWidth="1"/>
    <col min="8" max="8" width="8.28515625" style="201" hidden="1" customWidth="1"/>
    <col min="9" max="9" width="7.5703125" style="201" hidden="1" customWidth="1"/>
    <col min="10" max="10" width="6.7109375" style="201" hidden="1" customWidth="1"/>
    <col min="11" max="15" width="7.7109375" style="201" customWidth="1"/>
    <col min="16" max="16" width="6.85546875" style="201" customWidth="1"/>
    <col min="17" max="17" width="10" style="201" customWidth="1"/>
    <col min="18" max="18" width="10.7109375" style="201" customWidth="1"/>
    <col min="19" max="20" width="9.140625" style="201" customWidth="1"/>
    <col min="21" max="22" width="9.28515625" style="201" customWidth="1"/>
    <col min="23" max="23" width="9.140625" style="201" customWidth="1"/>
    <col min="24" max="24" width="11.7109375" style="201" customWidth="1"/>
    <col min="25" max="26" width="7.140625" style="201" customWidth="1"/>
    <col min="27" max="16384" width="9.140625" style="201"/>
  </cols>
  <sheetData>
    <row r="1" spans="1:34" ht="22.5" customHeight="1">
      <c r="A1" s="657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</row>
    <row r="2" spans="1:34" ht="22.5" customHeight="1">
      <c r="A2" s="657" t="s">
        <v>0</v>
      </c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  <c r="W2" s="657"/>
      <c r="X2" s="657"/>
      <c r="Y2" s="657"/>
      <c r="Z2" s="657"/>
    </row>
    <row r="3" spans="1:34" ht="21" customHeight="1">
      <c r="A3" s="202" t="s">
        <v>75</v>
      </c>
      <c r="B3" s="202"/>
    </row>
    <row r="4" spans="1:34" s="203" customFormat="1" ht="22.5" customHeight="1">
      <c r="A4" s="658" t="s">
        <v>13</v>
      </c>
      <c r="B4" s="661" t="s">
        <v>71</v>
      </c>
      <c r="C4" s="664" t="s">
        <v>42</v>
      </c>
      <c r="D4" s="665"/>
      <c r="E4" s="665"/>
      <c r="F4" s="665"/>
      <c r="G4" s="665"/>
      <c r="H4" s="665"/>
      <c r="I4" s="665"/>
      <c r="J4" s="665"/>
      <c r="K4" s="673" t="s">
        <v>72</v>
      </c>
      <c r="L4" s="674"/>
      <c r="M4" s="674"/>
      <c r="N4" s="674"/>
      <c r="O4" s="674"/>
      <c r="P4" s="674"/>
      <c r="Q4" s="674"/>
      <c r="R4" s="675"/>
      <c r="S4" s="673" t="s">
        <v>16</v>
      </c>
      <c r="T4" s="674"/>
      <c r="U4" s="674"/>
      <c r="V4" s="674"/>
      <c r="W4" s="674"/>
      <c r="X4" s="674"/>
      <c r="Y4" s="674"/>
      <c r="Z4" s="675"/>
    </row>
    <row r="5" spans="1:34" s="203" customFormat="1" ht="24" customHeight="1">
      <c r="A5" s="659"/>
      <c r="B5" s="662"/>
      <c r="C5" s="666" t="s">
        <v>20</v>
      </c>
      <c r="D5" s="667"/>
      <c r="E5" s="667"/>
      <c r="F5" s="667"/>
      <c r="G5" s="667"/>
      <c r="H5" s="668"/>
      <c r="I5" s="669" t="s">
        <v>23</v>
      </c>
      <c r="J5" s="670"/>
      <c r="K5" s="666" t="s">
        <v>22</v>
      </c>
      <c r="L5" s="667"/>
      <c r="M5" s="667"/>
      <c r="N5" s="667"/>
      <c r="O5" s="667"/>
      <c r="P5" s="668"/>
      <c r="Q5" s="669" t="s">
        <v>23</v>
      </c>
      <c r="R5" s="670"/>
      <c r="S5" s="666" t="s">
        <v>20</v>
      </c>
      <c r="T5" s="667"/>
      <c r="U5" s="667"/>
      <c r="V5" s="667"/>
      <c r="W5" s="667"/>
      <c r="X5" s="668"/>
      <c r="Y5" s="671" t="s">
        <v>23</v>
      </c>
      <c r="Z5" s="672"/>
    </row>
    <row r="6" spans="1:34" s="203" customFormat="1" ht="23.25" customHeight="1">
      <c r="A6" s="659"/>
      <c r="B6" s="662"/>
      <c r="C6" s="676" t="s">
        <v>1</v>
      </c>
      <c r="D6" s="676"/>
      <c r="E6" s="676"/>
      <c r="F6" s="676"/>
      <c r="G6" s="676"/>
      <c r="H6" s="677" t="s">
        <v>26</v>
      </c>
      <c r="I6" s="679" t="s">
        <v>14</v>
      </c>
      <c r="J6" s="681" t="s">
        <v>25</v>
      </c>
      <c r="K6" s="676" t="s">
        <v>1</v>
      </c>
      <c r="L6" s="676"/>
      <c r="M6" s="676"/>
      <c r="N6" s="676"/>
      <c r="O6" s="676"/>
      <c r="P6" s="677" t="s">
        <v>26</v>
      </c>
      <c r="Q6" s="679" t="s">
        <v>14</v>
      </c>
      <c r="R6" s="681" t="s">
        <v>25</v>
      </c>
      <c r="S6" s="676" t="s">
        <v>1</v>
      </c>
      <c r="T6" s="676"/>
      <c r="U6" s="676"/>
      <c r="V6" s="676"/>
      <c r="W6" s="676"/>
      <c r="X6" s="677" t="s">
        <v>26</v>
      </c>
      <c r="Y6" s="686" t="s">
        <v>14</v>
      </c>
      <c r="Z6" s="672" t="s">
        <v>25</v>
      </c>
      <c r="AC6" s="270"/>
      <c r="AD6" s="270"/>
      <c r="AE6" s="265"/>
      <c r="AF6" s="201"/>
      <c r="AG6" s="201"/>
      <c r="AH6" s="201"/>
    </row>
    <row r="7" spans="1:34" s="203" customFormat="1" ht="21" customHeight="1">
      <c r="A7" s="660"/>
      <c r="B7" s="663"/>
      <c r="C7" s="204">
        <v>1</v>
      </c>
      <c r="D7" s="204">
        <v>2</v>
      </c>
      <c r="E7" s="204">
        <v>3</v>
      </c>
      <c r="F7" s="204">
        <v>4</v>
      </c>
      <c r="G7" s="204" t="s">
        <v>2</v>
      </c>
      <c r="H7" s="678"/>
      <c r="I7" s="680"/>
      <c r="J7" s="682"/>
      <c r="K7" s="204">
        <v>1</v>
      </c>
      <c r="L7" s="204">
        <v>2</v>
      </c>
      <c r="M7" s="204">
        <v>3</v>
      </c>
      <c r="N7" s="204">
        <v>4</v>
      </c>
      <c r="O7" s="204" t="s">
        <v>2</v>
      </c>
      <c r="P7" s="678"/>
      <c r="Q7" s="680"/>
      <c r="R7" s="682"/>
      <c r="S7" s="204">
        <v>1</v>
      </c>
      <c r="T7" s="204">
        <v>2</v>
      </c>
      <c r="U7" s="204">
        <v>3</v>
      </c>
      <c r="V7" s="204">
        <v>4</v>
      </c>
      <c r="W7" s="204" t="s">
        <v>2</v>
      </c>
      <c r="X7" s="678"/>
      <c r="Y7" s="680"/>
      <c r="Z7" s="682"/>
      <c r="AC7" s="201"/>
      <c r="AD7" s="201"/>
      <c r="AE7" s="152"/>
      <c r="AF7" s="201"/>
      <c r="AG7" s="201"/>
      <c r="AH7" s="201"/>
    </row>
    <row r="8" spans="1:34" ht="17.25" customHeight="1">
      <c r="A8" s="205" t="s">
        <v>6</v>
      </c>
      <c r="B8" s="43">
        <v>2</v>
      </c>
      <c r="C8" s="182"/>
      <c r="D8" s="182"/>
      <c r="E8" s="182"/>
      <c r="F8" s="182"/>
      <c r="G8" s="182"/>
      <c r="H8" s="183"/>
      <c r="I8" s="249"/>
      <c r="J8" s="185"/>
      <c r="K8" s="182"/>
      <c r="L8" s="182"/>
      <c r="M8" s="182"/>
      <c r="N8" s="182"/>
      <c r="O8" s="182"/>
      <c r="P8" s="183"/>
      <c r="Q8" s="249"/>
      <c r="R8" s="185"/>
      <c r="S8" s="182"/>
      <c r="T8" s="182">
        <f>1+1+0</f>
        <v>2</v>
      </c>
      <c r="U8" s="182"/>
      <c r="V8" s="182"/>
      <c r="W8" s="182">
        <f t="shared" ref="W8:W14" si="0">SUM(S8:V8)</f>
        <v>2</v>
      </c>
      <c r="X8" s="186">
        <f>S8+1+1</f>
        <v>2</v>
      </c>
      <c r="Y8" s="184">
        <v>2</v>
      </c>
      <c r="Z8" s="185">
        <f>Y8*100/X8</f>
        <v>100</v>
      </c>
      <c r="AE8" s="264"/>
    </row>
    <row r="9" spans="1:34" ht="17.25" customHeight="1">
      <c r="A9" s="206" t="s">
        <v>7</v>
      </c>
      <c r="B9" s="44">
        <v>4</v>
      </c>
      <c r="C9" s="187">
        <f>1+0+1</f>
        <v>2</v>
      </c>
      <c r="D9" s="187"/>
      <c r="E9" s="187"/>
      <c r="F9" s="187"/>
      <c r="G9" s="187">
        <f>SUM(C9:F9)</f>
        <v>2</v>
      </c>
      <c r="H9" s="183">
        <f>C9</f>
        <v>2</v>
      </c>
      <c r="I9" s="184"/>
      <c r="J9" s="185"/>
      <c r="K9" s="187">
        <f>0+0+1</f>
        <v>1</v>
      </c>
      <c r="L9" s="187"/>
      <c r="M9" s="187"/>
      <c r="N9" s="187"/>
      <c r="O9" s="187">
        <f>SUM(K9:N9)</f>
        <v>1</v>
      </c>
      <c r="P9" s="183">
        <f>K9</f>
        <v>1</v>
      </c>
      <c r="Q9" s="256"/>
      <c r="R9" s="185"/>
      <c r="S9" s="187">
        <f>1+0+0</f>
        <v>1</v>
      </c>
      <c r="T9" s="187">
        <f>1+2+0</f>
        <v>3</v>
      </c>
      <c r="U9" s="187"/>
      <c r="V9" s="187"/>
      <c r="W9" s="187">
        <f t="shared" si="0"/>
        <v>4</v>
      </c>
      <c r="X9" s="188">
        <f>S9+1+2</f>
        <v>4</v>
      </c>
      <c r="Y9" s="269">
        <v>2</v>
      </c>
      <c r="Z9" s="185">
        <f t="shared" ref="Z9:Z15" si="1">Y9*100/X9</f>
        <v>50</v>
      </c>
    </row>
    <row r="10" spans="1:34" ht="17.25" customHeight="1">
      <c r="A10" s="206" t="s">
        <v>8</v>
      </c>
      <c r="B10" s="44">
        <v>6</v>
      </c>
      <c r="C10" s="187">
        <f>0+1+0</f>
        <v>1</v>
      </c>
      <c r="D10" s="187"/>
      <c r="E10" s="187"/>
      <c r="F10" s="187"/>
      <c r="G10" s="187">
        <f>SUM(C10:F10)</f>
        <v>1</v>
      </c>
      <c r="H10" s="183">
        <f>C10</f>
        <v>1</v>
      </c>
      <c r="I10" s="184">
        <v>1</v>
      </c>
      <c r="J10" s="185">
        <f>I10*100/H10</f>
        <v>100</v>
      </c>
      <c r="K10" s="187">
        <f>1+1+2</f>
        <v>4</v>
      </c>
      <c r="L10" s="187"/>
      <c r="M10" s="187"/>
      <c r="N10" s="187"/>
      <c r="O10" s="187">
        <f>SUM(K10:N10)</f>
        <v>4</v>
      </c>
      <c r="P10" s="183">
        <f>K10</f>
        <v>4</v>
      </c>
      <c r="Q10" s="185">
        <v>2</v>
      </c>
      <c r="R10" s="185">
        <f>Q10*100/P10</f>
        <v>50</v>
      </c>
      <c r="S10" s="187">
        <f>3+1+0</f>
        <v>4</v>
      </c>
      <c r="T10" s="187">
        <f>1+0+1</f>
        <v>2</v>
      </c>
      <c r="U10" s="187"/>
      <c r="V10" s="187"/>
      <c r="W10" s="187">
        <f t="shared" si="0"/>
        <v>6</v>
      </c>
      <c r="X10" s="188">
        <f>S10+1+0</f>
        <v>5</v>
      </c>
      <c r="Y10" s="184">
        <v>5</v>
      </c>
      <c r="Z10" s="185">
        <f t="shared" si="1"/>
        <v>100</v>
      </c>
    </row>
    <row r="11" spans="1:34" ht="17.25" customHeight="1">
      <c r="A11" s="207" t="s">
        <v>9</v>
      </c>
      <c r="B11" s="51">
        <v>4</v>
      </c>
      <c r="C11" s="189">
        <f>0+1+0</f>
        <v>1</v>
      </c>
      <c r="D11" s="189"/>
      <c r="E11" s="189"/>
      <c r="F11" s="189"/>
      <c r="G11" s="187">
        <f>SUM(C11:F11)</f>
        <v>1</v>
      </c>
      <c r="H11" s="183">
        <f>0+1</f>
        <v>1</v>
      </c>
      <c r="I11" s="249">
        <v>2</v>
      </c>
      <c r="J11" s="185">
        <f>I11*100/H11</f>
        <v>200</v>
      </c>
      <c r="K11" s="189">
        <f>0+1+0</f>
        <v>1</v>
      </c>
      <c r="L11" s="189"/>
      <c r="M11" s="189"/>
      <c r="N11" s="189"/>
      <c r="O11" s="187">
        <f t="shared" ref="O11:O14" si="2">SUM(K11:N11)</f>
        <v>1</v>
      </c>
      <c r="P11" s="183">
        <f t="shared" ref="P11:P14" si="3">K11</f>
        <v>1</v>
      </c>
      <c r="Q11" s="256"/>
      <c r="R11" s="185"/>
      <c r="S11" s="189">
        <f>0+2+0</f>
        <v>2</v>
      </c>
      <c r="T11" s="189">
        <f>2+0+0</f>
        <v>2</v>
      </c>
      <c r="U11" s="189"/>
      <c r="V11" s="189"/>
      <c r="W11" s="187">
        <f t="shared" si="0"/>
        <v>4</v>
      </c>
      <c r="X11" s="188">
        <f>S11+2+0</f>
        <v>4</v>
      </c>
      <c r="Y11" s="184">
        <v>4</v>
      </c>
      <c r="Z11" s="185">
        <f t="shared" si="1"/>
        <v>100</v>
      </c>
    </row>
    <row r="12" spans="1:34" ht="17.25" customHeight="1">
      <c r="A12" s="208" t="s">
        <v>10</v>
      </c>
      <c r="B12" s="52">
        <v>6</v>
      </c>
      <c r="C12" s="190"/>
      <c r="D12" s="190"/>
      <c r="E12" s="190"/>
      <c r="F12" s="190"/>
      <c r="G12" s="187"/>
      <c r="H12" s="183"/>
      <c r="I12" s="250"/>
      <c r="J12" s="192"/>
      <c r="K12" s="193">
        <f>0+3+1</f>
        <v>4</v>
      </c>
      <c r="L12" s="193"/>
      <c r="M12" s="193"/>
      <c r="N12" s="193"/>
      <c r="O12" s="187">
        <f t="shared" si="2"/>
        <v>4</v>
      </c>
      <c r="P12" s="183">
        <f t="shared" si="3"/>
        <v>4</v>
      </c>
      <c r="Q12" s="258"/>
      <c r="R12" s="192"/>
      <c r="S12" s="193">
        <f>1+0+0</f>
        <v>1</v>
      </c>
      <c r="T12" s="193">
        <f>4+1+0</f>
        <v>5</v>
      </c>
      <c r="U12" s="193"/>
      <c r="V12" s="193"/>
      <c r="W12" s="187">
        <f t="shared" si="0"/>
        <v>6</v>
      </c>
      <c r="X12" s="188">
        <f>S12+4+1</f>
        <v>6</v>
      </c>
      <c r="Y12" s="269">
        <v>3</v>
      </c>
      <c r="Z12" s="185">
        <f t="shared" si="1"/>
        <v>50</v>
      </c>
    </row>
    <row r="13" spans="1:34" ht="17.25" customHeight="1">
      <c r="A13" s="208" t="s">
        <v>11</v>
      </c>
      <c r="B13" s="52">
        <v>16</v>
      </c>
      <c r="C13" s="190">
        <f>1+1+0</f>
        <v>2</v>
      </c>
      <c r="D13" s="190"/>
      <c r="E13" s="190"/>
      <c r="F13" s="190"/>
      <c r="G13" s="187">
        <f t="shared" ref="G13" si="4">SUM(C13:F13)</f>
        <v>2</v>
      </c>
      <c r="H13" s="183">
        <f>1+1</f>
        <v>2</v>
      </c>
      <c r="I13" s="258"/>
      <c r="J13" s="192"/>
      <c r="K13" s="193">
        <f>4+1+1</f>
        <v>6</v>
      </c>
      <c r="L13" s="193">
        <f>1+0+0</f>
        <v>1</v>
      </c>
      <c r="M13" s="193"/>
      <c r="N13" s="193"/>
      <c r="O13" s="187">
        <f t="shared" si="2"/>
        <v>7</v>
      </c>
      <c r="P13" s="183">
        <f>K13+1+0</f>
        <v>7</v>
      </c>
      <c r="Q13" s="269">
        <v>1</v>
      </c>
      <c r="R13" s="192"/>
      <c r="S13" s="193">
        <f>7+1+0</f>
        <v>8</v>
      </c>
      <c r="T13" s="193">
        <f>5+1+0</f>
        <v>6</v>
      </c>
      <c r="U13" s="193">
        <f>0+0+1</f>
        <v>1</v>
      </c>
      <c r="V13" s="193">
        <f>1+0+0</f>
        <v>1</v>
      </c>
      <c r="W13" s="187">
        <f t="shared" si="0"/>
        <v>16</v>
      </c>
      <c r="X13" s="188">
        <f>S13+5+1</f>
        <v>14</v>
      </c>
      <c r="Y13" s="247">
        <v>11</v>
      </c>
      <c r="Z13" s="185">
        <f t="shared" si="1"/>
        <v>78.571428571428569</v>
      </c>
    </row>
    <row r="14" spans="1:34" ht="17.25" customHeight="1">
      <c r="A14" s="209" t="s">
        <v>12</v>
      </c>
      <c r="B14" s="53">
        <v>3</v>
      </c>
      <c r="C14" s="194"/>
      <c r="D14" s="194"/>
      <c r="E14" s="194"/>
      <c r="F14" s="194"/>
      <c r="G14" s="194"/>
      <c r="H14" s="195"/>
      <c r="I14" s="198"/>
      <c r="J14" s="197"/>
      <c r="K14" s="194">
        <f>0+1+1</f>
        <v>2</v>
      </c>
      <c r="L14" s="194"/>
      <c r="M14" s="194"/>
      <c r="N14" s="194"/>
      <c r="O14" s="194">
        <f t="shared" si="2"/>
        <v>2</v>
      </c>
      <c r="P14" s="195">
        <f t="shared" si="3"/>
        <v>2</v>
      </c>
      <c r="Q14" s="257">
        <v>1</v>
      </c>
      <c r="R14" s="197">
        <f>Q14*100/P14</f>
        <v>50</v>
      </c>
      <c r="S14" s="194">
        <f>1+0+0</f>
        <v>1</v>
      </c>
      <c r="T14" s="194">
        <f>1+1+0</f>
        <v>2</v>
      </c>
      <c r="U14" s="194"/>
      <c r="V14" s="194"/>
      <c r="W14" s="194">
        <f t="shared" si="0"/>
        <v>3</v>
      </c>
      <c r="X14" s="195">
        <f>S14+1+1</f>
        <v>3</v>
      </c>
      <c r="Y14" s="257">
        <v>2</v>
      </c>
      <c r="Z14" s="197">
        <f t="shared" si="1"/>
        <v>66.666666666666671</v>
      </c>
    </row>
    <row r="15" spans="1:34" ht="24" customHeight="1">
      <c r="A15" s="42" t="s">
        <v>5</v>
      </c>
      <c r="B15" s="42">
        <f>SUM(B8:B14)</f>
        <v>41</v>
      </c>
      <c r="C15" s="199">
        <f t="shared" ref="C15:G15" si="5">SUM(C8:C14)</f>
        <v>6</v>
      </c>
      <c r="D15" s="199">
        <f t="shared" si="5"/>
        <v>0</v>
      </c>
      <c r="E15" s="199">
        <f t="shared" si="5"/>
        <v>0</v>
      </c>
      <c r="F15" s="199">
        <f t="shared" si="5"/>
        <v>0</v>
      </c>
      <c r="G15" s="199">
        <f t="shared" si="5"/>
        <v>6</v>
      </c>
      <c r="H15" s="199">
        <f>SUM(H8:H14)</f>
        <v>6</v>
      </c>
      <c r="I15" s="200">
        <f>SUM(I8:I14)</f>
        <v>3</v>
      </c>
      <c r="J15" s="200"/>
      <c r="K15" s="199">
        <f t="shared" ref="K15:O15" si="6">SUM(K8:K14)</f>
        <v>18</v>
      </c>
      <c r="L15" s="199">
        <f t="shared" si="6"/>
        <v>1</v>
      </c>
      <c r="M15" s="199">
        <f t="shared" si="6"/>
        <v>0</v>
      </c>
      <c r="N15" s="199">
        <f t="shared" si="6"/>
        <v>0</v>
      </c>
      <c r="O15" s="199">
        <f t="shared" si="6"/>
        <v>19</v>
      </c>
      <c r="P15" s="199">
        <f>SUM(P8:P14)</f>
        <v>19</v>
      </c>
      <c r="Q15" s="200">
        <f>SUM(Q8:Q14)</f>
        <v>4</v>
      </c>
      <c r="R15" s="200">
        <f>Q15*100/P15</f>
        <v>21.05263157894737</v>
      </c>
      <c r="S15" s="199">
        <f t="shared" ref="S15:X15" si="7">SUM(S8:S14)</f>
        <v>17</v>
      </c>
      <c r="T15" s="199">
        <f t="shared" si="7"/>
        <v>22</v>
      </c>
      <c r="U15" s="199">
        <f t="shared" si="7"/>
        <v>1</v>
      </c>
      <c r="V15" s="199">
        <f t="shared" si="7"/>
        <v>1</v>
      </c>
      <c r="W15" s="199">
        <f t="shared" si="7"/>
        <v>41</v>
      </c>
      <c r="X15" s="199">
        <f t="shared" si="7"/>
        <v>38</v>
      </c>
      <c r="Y15" s="200">
        <f>SUM(Y8:Y14)</f>
        <v>29</v>
      </c>
      <c r="Z15" s="200">
        <f t="shared" si="1"/>
        <v>76.315789473684205</v>
      </c>
    </row>
    <row r="16" spans="1:34" ht="20.100000000000001" customHeight="1"/>
    <row r="17" spans="1:21" ht="16.5" customHeight="1">
      <c r="A17" s="683" t="s">
        <v>61</v>
      </c>
      <c r="B17" s="683"/>
      <c r="C17" s="683"/>
      <c r="D17" s="683"/>
      <c r="E17" s="683"/>
      <c r="F17" s="683"/>
      <c r="G17" s="683"/>
      <c r="H17" s="683"/>
      <c r="I17" s="683"/>
      <c r="J17" s="683"/>
      <c r="K17" s="201" t="s">
        <v>107</v>
      </c>
      <c r="R17" s="685" t="s">
        <v>61</v>
      </c>
      <c r="S17" s="685"/>
      <c r="T17" s="201" t="s">
        <v>98</v>
      </c>
    </row>
    <row r="18" spans="1:21" ht="16.5" customHeight="1">
      <c r="A18" s="684" t="s">
        <v>7</v>
      </c>
      <c r="B18" s="684"/>
      <c r="C18" s="684"/>
      <c r="D18" s="684"/>
      <c r="E18" s="684"/>
      <c r="F18" s="684"/>
      <c r="G18" s="684"/>
      <c r="H18" s="684"/>
      <c r="I18" s="684"/>
      <c r="J18" s="684"/>
      <c r="K18" s="283" t="s">
        <v>86</v>
      </c>
      <c r="L18" s="264"/>
      <c r="R18" s="270"/>
      <c r="S18" s="280" t="s">
        <v>7</v>
      </c>
      <c r="T18" s="283" t="s">
        <v>90</v>
      </c>
      <c r="U18" s="281"/>
    </row>
    <row r="19" spans="1:21" ht="16.5" customHeight="1">
      <c r="A19" s="281"/>
      <c r="B19" s="281"/>
      <c r="C19" s="281"/>
      <c r="D19" s="281"/>
      <c r="E19" s="281"/>
      <c r="F19" s="281"/>
      <c r="G19" s="281"/>
      <c r="H19" s="281"/>
      <c r="I19" s="281"/>
      <c r="J19" s="281"/>
      <c r="K19" s="279" t="s">
        <v>76</v>
      </c>
      <c r="L19" s="264"/>
      <c r="S19" s="280"/>
      <c r="T19" s="232" t="s">
        <v>96</v>
      </c>
      <c r="U19" s="281"/>
    </row>
    <row r="20" spans="1:21" ht="16.5" customHeight="1">
      <c r="A20" s="684" t="s">
        <v>8</v>
      </c>
      <c r="B20" s="684"/>
      <c r="C20" s="684"/>
      <c r="D20" s="684"/>
      <c r="E20" s="684"/>
      <c r="F20" s="684"/>
      <c r="G20" s="684"/>
      <c r="H20" s="684"/>
      <c r="I20" s="684"/>
      <c r="J20" s="684"/>
      <c r="K20" s="283" t="s">
        <v>104</v>
      </c>
      <c r="L20" s="264"/>
      <c r="S20" s="280"/>
      <c r="T20" s="232" t="s">
        <v>97</v>
      </c>
      <c r="U20" s="281"/>
    </row>
    <row r="21" spans="1:21" ht="16.5" customHeight="1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5" t="s">
        <v>105</v>
      </c>
      <c r="L21" s="264"/>
      <c r="S21" s="280" t="s">
        <v>10</v>
      </c>
      <c r="T21" s="284" t="s">
        <v>99</v>
      </c>
      <c r="U21" s="281"/>
    </row>
    <row r="22" spans="1:21" ht="16.5" customHeight="1">
      <c r="A22" s="684" t="s">
        <v>9</v>
      </c>
      <c r="B22" s="684"/>
      <c r="C22" s="684"/>
      <c r="D22" s="684"/>
      <c r="E22" s="684"/>
      <c r="F22" s="684"/>
      <c r="G22" s="684"/>
      <c r="H22" s="684"/>
      <c r="I22" s="684"/>
      <c r="J22" s="684"/>
      <c r="K22" s="283" t="s">
        <v>86</v>
      </c>
      <c r="L22" s="264"/>
      <c r="S22" s="280"/>
      <c r="T22" s="282" t="s">
        <v>100</v>
      </c>
      <c r="U22" s="281"/>
    </row>
    <row r="23" spans="1:21" ht="16.5" customHeight="1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79" t="s">
        <v>77</v>
      </c>
      <c r="L23" s="264"/>
      <c r="S23" s="280"/>
      <c r="T23" s="232" t="s">
        <v>101</v>
      </c>
      <c r="U23" s="281"/>
    </row>
    <row r="24" spans="1:21" ht="16.5" customHeight="1">
      <c r="A24" s="684" t="s">
        <v>10</v>
      </c>
      <c r="B24" s="684"/>
      <c r="C24" s="684"/>
      <c r="D24" s="684"/>
      <c r="E24" s="684"/>
      <c r="F24" s="684"/>
      <c r="G24" s="684"/>
      <c r="H24" s="684"/>
      <c r="I24" s="684"/>
      <c r="J24" s="684"/>
      <c r="K24" s="283" t="s">
        <v>87</v>
      </c>
      <c r="L24" s="264"/>
      <c r="S24" s="280"/>
      <c r="T24" s="282" t="s">
        <v>92</v>
      </c>
      <c r="U24" s="281"/>
    </row>
    <row r="25" spans="1:21" ht="16.5" customHeight="1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79" t="s">
        <v>78</v>
      </c>
      <c r="L25" s="264"/>
      <c r="S25" s="280" t="s">
        <v>11</v>
      </c>
      <c r="T25" s="284" t="s">
        <v>99</v>
      </c>
      <c r="U25" s="281"/>
    </row>
    <row r="26" spans="1:21" ht="16.5" customHeight="1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79" t="s">
        <v>79</v>
      </c>
      <c r="L26" s="264"/>
      <c r="S26" s="280"/>
      <c r="T26" s="282" t="s">
        <v>91</v>
      </c>
      <c r="U26" s="281"/>
    </row>
    <row r="27" spans="1:21" ht="16.5" customHeight="1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79" t="s">
        <v>80</v>
      </c>
      <c r="L27" s="264"/>
      <c r="S27" s="280"/>
      <c r="T27" s="282" t="s">
        <v>93</v>
      </c>
      <c r="U27" s="281"/>
    </row>
    <row r="28" spans="1:21" ht="16.5" customHeight="1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79" t="s">
        <v>81</v>
      </c>
      <c r="L28" s="264"/>
      <c r="S28" s="281"/>
      <c r="T28" s="232" t="s">
        <v>102</v>
      </c>
      <c r="U28" s="281"/>
    </row>
    <row r="29" spans="1:21" ht="16.5" customHeight="1">
      <c r="A29" s="684" t="s">
        <v>11</v>
      </c>
      <c r="B29" s="684"/>
      <c r="C29" s="684"/>
      <c r="D29" s="684"/>
      <c r="E29" s="684"/>
      <c r="F29" s="684"/>
      <c r="G29" s="684"/>
      <c r="H29" s="684"/>
      <c r="I29" s="684"/>
      <c r="J29" s="684"/>
      <c r="K29" s="283" t="s">
        <v>106</v>
      </c>
      <c r="L29" s="264"/>
      <c r="S29" s="280" t="s">
        <v>12</v>
      </c>
      <c r="T29" s="284" t="s">
        <v>95</v>
      </c>
    </row>
    <row r="30" spans="1:21" ht="16.5" customHeight="1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79" t="s">
        <v>82</v>
      </c>
      <c r="L30" s="264"/>
      <c r="S30" s="281"/>
      <c r="T30" s="232" t="s">
        <v>103</v>
      </c>
    </row>
    <row r="31" spans="1:21" ht="16.5" customHeight="1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79" t="s">
        <v>83</v>
      </c>
      <c r="L31" s="264"/>
    </row>
    <row r="32" spans="1:21" ht="16.5" customHeight="1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79" t="s">
        <v>94</v>
      </c>
      <c r="L32" s="264"/>
    </row>
    <row r="33" spans="1:12" ht="16.5" customHeight="1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79" t="s">
        <v>84</v>
      </c>
      <c r="L33" s="264"/>
    </row>
    <row r="34" spans="1:12" ht="16.5" customHeight="1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79" t="s">
        <v>85</v>
      </c>
      <c r="L34" s="264"/>
    </row>
    <row r="35" spans="1:12" ht="20.100000000000001" customHeight="1">
      <c r="A35" s="684" t="s">
        <v>12</v>
      </c>
      <c r="B35" s="684"/>
      <c r="C35" s="684"/>
      <c r="D35" s="684"/>
      <c r="E35" s="684"/>
      <c r="F35" s="684"/>
      <c r="G35" s="684"/>
      <c r="H35" s="684"/>
      <c r="I35" s="684"/>
      <c r="J35" s="684"/>
      <c r="K35" s="283" t="s">
        <v>86</v>
      </c>
      <c r="L35" s="264"/>
    </row>
    <row r="36" spans="1:12" ht="20.100000000000001" customHeight="1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79" t="s">
        <v>88</v>
      </c>
      <c r="L36" s="264"/>
    </row>
    <row r="37" spans="1:12" ht="20.100000000000001" customHeight="1">
      <c r="A37" s="264"/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</row>
    <row r="38" spans="1:12" ht="20.100000000000001" customHeight="1"/>
    <row r="39" spans="1:12" ht="20.100000000000001" customHeight="1"/>
    <row r="40" spans="1:12" ht="20.100000000000001" customHeight="1"/>
    <row r="41" spans="1:12" ht="20.100000000000001" customHeight="1"/>
    <row r="42" spans="1:12" ht="20.100000000000001" customHeight="1"/>
    <row r="43" spans="1:12" ht="20.100000000000001" customHeight="1"/>
  </sheetData>
  <mergeCells count="33">
    <mergeCell ref="R17:S17"/>
    <mergeCell ref="S4:Z4"/>
    <mergeCell ref="X6:X7"/>
    <mergeCell ref="Y6:Y7"/>
    <mergeCell ref="Z6:Z7"/>
    <mergeCell ref="S6:W6"/>
    <mergeCell ref="A18:J18"/>
    <mergeCell ref="A22:J22"/>
    <mergeCell ref="A24:J24"/>
    <mergeCell ref="A29:J29"/>
    <mergeCell ref="A35:J35"/>
    <mergeCell ref="A20:J20"/>
    <mergeCell ref="C6:G6"/>
    <mergeCell ref="H6:H7"/>
    <mergeCell ref="I6:I7"/>
    <mergeCell ref="J6:J7"/>
    <mergeCell ref="A17:J17"/>
    <mergeCell ref="A1:Z1"/>
    <mergeCell ref="A2:Z2"/>
    <mergeCell ref="A4:A7"/>
    <mergeCell ref="B4:B7"/>
    <mergeCell ref="C4:J4"/>
    <mergeCell ref="C5:H5"/>
    <mergeCell ref="I5:J5"/>
    <mergeCell ref="K5:P5"/>
    <mergeCell ref="Q5:R5"/>
    <mergeCell ref="S5:X5"/>
    <mergeCell ref="Y5:Z5"/>
    <mergeCell ref="K4:R4"/>
    <mergeCell ref="K6:O6"/>
    <mergeCell ref="P6:P7"/>
    <mergeCell ref="Q6:Q7"/>
    <mergeCell ref="R6:R7"/>
  </mergeCells>
  <printOptions horizontalCentered="1"/>
  <pageMargins left="0" right="0" top="3.937007874015748E-2" bottom="0" header="1.3385826771653544" footer="0.19685039370078741"/>
  <pageSetup paperSize="9" scale="85" orientation="landscape" r:id="rId1"/>
  <headerFooter alignWithMargins="0">
    <oddFooter>&amp;C&amp;8&amp;Z&amp;F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D47"/>
  <sheetViews>
    <sheetView zoomScale="90" zoomScaleNormal="90" workbookViewId="0">
      <selection activeCell="U13" sqref="U13"/>
    </sheetView>
  </sheetViews>
  <sheetFormatPr defaultRowHeight="27.75" customHeight="1"/>
  <cols>
    <col min="1" max="1" width="9.28515625" style="25" customWidth="1"/>
    <col min="2" max="2" width="14.28515625" style="25" customWidth="1"/>
    <col min="3" max="3" width="10" style="25" customWidth="1"/>
    <col min="4" max="4" width="9.5703125" style="25" customWidth="1"/>
    <col min="5" max="5" width="8.42578125" style="25" customWidth="1"/>
    <col min="6" max="6" width="7.28515625" style="25" customWidth="1"/>
    <col min="7" max="11" width="6.7109375" style="25" customWidth="1"/>
    <col min="12" max="12" width="6.28515625" style="25" customWidth="1"/>
    <col min="13" max="13" width="5.7109375" style="25" customWidth="1"/>
    <col min="14" max="14" width="6.140625" style="25" customWidth="1"/>
    <col min="15" max="15" width="8.5703125" style="25" customWidth="1"/>
    <col min="16" max="17" width="8.140625" style="25" customWidth="1"/>
    <col min="18" max="18" width="8" style="25" customWidth="1"/>
    <col min="19" max="19" width="10.5703125" style="25" bestFit="1" customWidth="1"/>
    <col min="20" max="20" width="7.7109375" style="25" customWidth="1"/>
    <col min="21" max="21" width="8" style="25" customWidth="1"/>
    <col min="22" max="23" width="8.7109375" style="25" customWidth="1"/>
    <col min="24" max="24" width="8.42578125" style="25" customWidth="1"/>
    <col min="25" max="25" width="7" style="25" customWidth="1"/>
    <col min="26" max="26" width="8.7109375" style="25" customWidth="1"/>
    <col min="27" max="28" width="8.85546875" style="25" customWidth="1"/>
    <col min="29" max="29" width="7.5703125" style="25" customWidth="1"/>
    <col min="30" max="30" width="8.28515625" style="25" customWidth="1"/>
    <col min="31" max="16384" width="9.140625" style="25"/>
  </cols>
  <sheetData>
    <row r="1" spans="1:30" s="100" customFormat="1" ht="24" customHeight="1">
      <c r="A1" s="638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638"/>
      <c r="Z1" s="638"/>
      <c r="AA1" s="638"/>
      <c r="AB1" s="638"/>
      <c r="AC1" s="638"/>
      <c r="AD1" s="638"/>
    </row>
    <row r="2" spans="1:30" s="100" customFormat="1" ht="24" customHeight="1">
      <c r="A2" s="638" t="s">
        <v>0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  <c r="AB2" s="638"/>
      <c r="AC2" s="638"/>
      <c r="AD2" s="638"/>
    </row>
    <row r="3" spans="1:30" s="100" customFormat="1" ht="28.5" customHeight="1">
      <c r="A3" s="154" t="s">
        <v>164</v>
      </c>
      <c r="B3" s="154"/>
      <c r="C3" s="154"/>
      <c r="D3" s="154"/>
      <c r="E3" s="154"/>
      <c r="F3" s="154"/>
    </row>
    <row r="4" spans="1:30" s="83" customFormat="1" ht="30.75" customHeight="1">
      <c r="A4" s="603" t="s">
        <v>13</v>
      </c>
      <c r="B4" s="698" t="s">
        <v>165</v>
      </c>
      <c r="C4" s="701" t="s">
        <v>167</v>
      </c>
      <c r="D4" s="702"/>
      <c r="E4" s="702"/>
      <c r="F4" s="703"/>
      <c r="G4" s="695" t="s">
        <v>171</v>
      </c>
      <c r="H4" s="696"/>
      <c r="I4" s="696"/>
      <c r="J4" s="696"/>
      <c r="K4" s="696"/>
      <c r="L4" s="696"/>
      <c r="M4" s="696"/>
      <c r="N4" s="697"/>
      <c r="O4" s="624" t="s">
        <v>170</v>
      </c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6"/>
    </row>
    <row r="5" spans="1:30" s="83" customFormat="1" ht="25.5" customHeight="1">
      <c r="A5" s="604"/>
      <c r="B5" s="699"/>
      <c r="C5" s="698" t="s">
        <v>168</v>
      </c>
      <c r="D5" s="698" t="s">
        <v>169</v>
      </c>
      <c r="E5" s="698" t="s">
        <v>2</v>
      </c>
      <c r="F5" s="704" t="s">
        <v>25</v>
      </c>
      <c r="G5" s="573" t="s">
        <v>4</v>
      </c>
      <c r="H5" s="574"/>
      <c r="I5" s="574"/>
      <c r="J5" s="574"/>
      <c r="K5" s="574"/>
      <c r="L5" s="575"/>
      <c r="M5" s="654" t="s">
        <v>23</v>
      </c>
      <c r="N5" s="655"/>
      <c r="O5" s="583" t="s">
        <v>4</v>
      </c>
      <c r="P5" s="584"/>
      <c r="Q5" s="584"/>
      <c r="R5" s="584"/>
      <c r="S5" s="584"/>
      <c r="T5" s="585"/>
      <c r="U5" s="688" t="s">
        <v>167</v>
      </c>
      <c r="V5" s="689"/>
      <c r="W5" s="690"/>
      <c r="X5" s="578" t="s">
        <v>286</v>
      </c>
      <c r="Y5" s="579"/>
      <c r="Z5" s="579"/>
      <c r="AA5" s="579"/>
      <c r="AB5" s="580"/>
      <c r="AC5" s="629" t="s">
        <v>275</v>
      </c>
      <c r="AD5" s="629" t="s">
        <v>276</v>
      </c>
    </row>
    <row r="6" spans="1:30" s="83" customFormat="1" ht="25.5" customHeight="1">
      <c r="A6" s="604"/>
      <c r="B6" s="699"/>
      <c r="C6" s="699"/>
      <c r="D6" s="699"/>
      <c r="E6" s="699"/>
      <c r="F6" s="705"/>
      <c r="G6" s="587" t="s">
        <v>1</v>
      </c>
      <c r="H6" s="587"/>
      <c r="I6" s="587"/>
      <c r="J6" s="587"/>
      <c r="K6" s="587" t="s">
        <v>2</v>
      </c>
      <c r="L6" s="653" t="s">
        <v>26</v>
      </c>
      <c r="M6" s="621"/>
      <c r="N6" s="622"/>
      <c r="O6" s="587" t="s">
        <v>1</v>
      </c>
      <c r="P6" s="587"/>
      <c r="Q6" s="587"/>
      <c r="R6" s="587"/>
      <c r="S6" s="587" t="s">
        <v>2</v>
      </c>
      <c r="T6" s="653" t="s">
        <v>26</v>
      </c>
      <c r="U6" s="691"/>
      <c r="V6" s="692"/>
      <c r="W6" s="693"/>
      <c r="X6" s="621" t="s">
        <v>172</v>
      </c>
      <c r="Y6" s="622"/>
      <c r="Z6" s="687" t="s">
        <v>173</v>
      </c>
      <c r="AA6" s="622"/>
      <c r="AB6" s="694" t="s">
        <v>2</v>
      </c>
      <c r="AC6" s="707"/>
      <c r="AD6" s="707"/>
    </row>
    <row r="7" spans="1:30" s="83" customFormat="1" ht="28.5" customHeight="1">
      <c r="A7" s="605"/>
      <c r="B7" s="405" t="s">
        <v>166</v>
      </c>
      <c r="C7" s="700"/>
      <c r="D7" s="700"/>
      <c r="E7" s="700"/>
      <c r="F7" s="706"/>
      <c r="G7" s="318">
        <v>1</v>
      </c>
      <c r="H7" s="318">
        <v>2</v>
      </c>
      <c r="I7" s="318">
        <v>3</v>
      </c>
      <c r="J7" s="318">
        <v>4</v>
      </c>
      <c r="K7" s="615"/>
      <c r="L7" s="577"/>
      <c r="M7" s="321" t="s">
        <v>14</v>
      </c>
      <c r="N7" s="314" t="s">
        <v>25</v>
      </c>
      <c r="O7" s="318">
        <v>1</v>
      </c>
      <c r="P7" s="318">
        <v>2</v>
      </c>
      <c r="Q7" s="318">
        <v>3</v>
      </c>
      <c r="R7" s="318">
        <v>4</v>
      </c>
      <c r="S7" s="615"/>
      <c r="T7" s="577"/>
      <c r="U7" s="423" t="s">
        <v>172</v>
      </c>
      <c r="V7" s="423" t="s">
        <v>173</v>
      </c>
      <c r="W7" s="422" t="s">
        <v>2</v>
      </c>
      <c r="X7" s="424" t="s">
        <v>174</v>
      </c>
      <c r="Y7" s="424" t="s">
        <v>175</v>
      </c>
      <c r="Z7" s="424" t="s">
        <v>174</v>
      </c>
      <c r="AA7" s="424" t="s">
        <v>175</v>
      </c>
      <c r="AB7" s="582"/>
      <c r="AC7" s="630"/>
      <c r="AD7" s="630"/>
    </row>
    <row r="8" spans="1:30" s="100" customFormat="1" ht="28.5" customHeight="1">
      <c r="A8" s="155" t="s">
        <v>6</v>
      </c>
      <c r="B8" s="357">
        <v>76792</v>
      </c>
      <c r="C8" s="357">
        <v>7004</v>
      </c>
      <c r="D8" s="357">
        <v>15786</v>
      </c>
      <c r="E8" s="357">
        <f>C8+D8</f>
        <v>22790</v>
      </c>
      <c r="F8" s="448">
        <f t="shared" ref="F8:F14" si="0">E8*100/B8</f>
        <v>29.677570580268778</v>
      </c>
      <c r="G8" s="65">
        <f>48+0+0</f>
        <v>48</v>
      </c>
      <c r="H8" s="65"/>
      <c r="I8" s="65"/>
      <c r="J8" s="65"/>
      <c r="K8" s="65">
        <f>SUM(G8:J8)</f>
        <v>48</v>
      </c>
      <c r="L8" s="469">
        <f>G8</f>
        <v>48</v>
      </c>
      <c r="M8" s="508">
        <v>48</v>
      </c>
      <c r="N8" s="159">
        <f>M8*100/L8</f>
        <v>100</v>
      </c>
      <c r="O8" s="359">
        <f>1053+9917+1277</f>
        <v>12247</v>
      </c>
      <c r="P8" s="359">
        <f>7265+2175+425</f>
        <v>9865</v>
      </c>
      <c r="Q8" s="359">
        <f>447+150+81</f>
        <v>678</v>
      </c>
      <c r="R8" s="359"/>
      <c r="S8" s="359">
        <f>SUM(O8:R8)</f>
        <v>22790</v>
      </c>
      <c r="T8" s="359">
        <f>O8+7265</f>
        <v>19512</v>
      </c>
      <c r="U8" s="357">
        <v>4901</v>
      </c>
      <c r="V8" s="357">
        <v>15068</v>
      </c>
      <c r="W8" s="511">
        <f>U8+V8</f>
        <v>19969</v>
      </c>
      <c r="X8" s="472">
        <v>4283</v>
      </c>
      <c r="Y8" s="473"/>
      <c r="Z8" s="474">
        <v>10111</v>
      </c>
      <c r="AA8" s="475"/>
      <c r="AB8" s="500">
        <f>SUM(X8:AA8)</f>
        <v>14394</v>
      </c>
      <c r="AC8" s="495">
        <v>20</v>
      </c>
      <c r="AD8" s="496"/>
    </row>
    <row r="9" spans="1:30" s="100" customFormat="1" ht="28.5" customHeight="1">
      <c r="A9" s="156" t="s">
        <v>7</v>
      </c>
      <c r="B9" s="357">
        <v>32160</v>
      </c>
      <c r="C9" s="357">
        <v>4750</v>
      </c>
      <c r="D9" s="357">
        <v>1689</v>
      </c>
      <c r="E9" s="357">
        <f t="shared" ref="E9:E15" si="1">C9+D9</f>
        <v>6439</v>
      </c>
      <c r="F9" s="448">
        <f t="shared" si="0"/>
        <v>20.02176616915423</v>
      </c>
      <c r="G9" s="65">
        <f>0+2+0</f>
        <v>2</v>
      </c>
      <c r="H9" s="65">
        <f>4+1+1</f>
        <v>6</v>
      </c>
      <c r="I9" s="65">
        <f>0+0+1</f>
        <v>1</v>
      </c>
      <c r="J9" s="65"/>
      <c r="K9" s="65">
        <f>SUM(G9:J9)</f>
        <v>9</v>
      </c>
      <c r="L9" s="452">
        <f>G9+4</f>
        <v>6</v>
      </c>
      <c r="M9" s="470">
        <v>6</v>
      </c>
      <c r="N9" s="159">
        <f t="shared" ref="N9:N11" si="2">M9*100/L9</f>
        <v>100</v>
      </c>
      <c r="O9" s="359"/>
      <c r="P9" s="359">
        <f>0+2241+2240</f>
        <v>4481</v>
      </c>
      <c r="Q9" s="359">
        <f>310+437+971</f>
        <v>1718</v>
      </c>
      <c r="R9" s="359">
        <f>240+0+0</f>
        <v>240</v>
      </c>
      <c r="S9" s="359">
        <f>SUM(O9:R9)</f>
        <v>6439</v>
      </c>
      <c r="T9" s="359"/>
      <c r="U9" s="357"/>
      <c r="V9" s="357"/>
      <c r="W9" s="477"/>
      <c r="X9" s="421"/>
      <c r="Y9" s="509"/>
      <c r="Z9" s="509"/>
      <c r="AA9" s="510"/>
      <c r="AB9" s="510">
        <f>SUM(X9:AA9)</f>
        <v>0</v>
      </c>
      <c r="AC9" s="497"/>
      <c r="AD9" s="497"/>
    </row>
    <row r="10" spans="1:30" s="100" customFormat="1" ht="28.5" customHeight="1">
      <c r="A10" s="156" t="s">
        <v>8</v>
      </c>
      <c r="B10" s="357">
        <v>27454</v>
      </c>
      <c r="C10" s="357">
        <v>5492</v>
      </c>
      <c r="D10" s="358"/>
      <c r="E10" s="421">
        <f t="shared" si="1"/>
        <v>5492</v>
      </c>
      <c r="F10" s="449">
        <f t="shared" si="0"/>
        <v>20.004370947767175</v>
      </c>
      <c r="G10" s="65">
        <f>0+0+1</f>
        <v>1</v>
      </c>
      <c r="H10" s="65">
        <f>2+0+0</f>
        <v>2</v>
      </c>
      <c r="I10" s="65">
        <f>3+1+0</f>
        <v>4</v>
      </c>
      <c r="J10" s="65">
        <f>1+1+0</f>
        <v>2</v>
      </c>
      <c r="K10" s="65">
        <f t="shared" ref="K10:K14" si="3">SUM(G10:J10)</f>
        <v>9</v>
      </c>
      <c r="L10" s="452">
        <f>G10+2</f>
        <v>3</v>
      </c>
      <c r="M10" s="471">
        <v>1</v>
      </c>
      <c r="N10" s="159">
        <f t="shared" si="2"/>
        <v>33.333333333333336</v>
      </c>
      <c r="O10" s="359">
        <f>0+0+45</f>
        <v>45</v>
      </c>
      <c r="P10" s="359">
        <f>0+190+0</f>
        <v>190</v>
      </c>
      <c r="Q10" s="359">
        <f>583+4168+0</f>
        <v>4751</v>
      </c>
      <c r="R10" s="359">
        <f>168+0+338</f>
        <v>506</v>
      </c>
      <c r="S10" s="359">
        <f>SUM(O10:R10)</f>
        <v>5492</v>
      </c>
      <c r="T10" s="359">
        <f>O10</f>
        <v>45</v>
      </c>
      <c r="U10" s="357">
        <v>45</v>
      </c>
      <c r="V10" s="357"/>
      <c r="W10" s="477">
        <f t="shared" ref="W10" si="4">U10+V10</f>
        <v>45</v>
      </c>
      <c r="X10" s="472">
        <v>45</v>
      </c>
      <c r="Y10" s="473"/>
      <c r="Z10" s="474"/>
      <c r="AA10" s="475"/>
      <c r="AB10" s="475">
        <f>SUM(X10:AA10)</f>
        <v>45</v>
      </c>
      <c r="AC10" s="497">
        <v>1</v>
      </c>
      <c r="AD10" s="497"/>
    </row>
    <row r="11" spans="1:30" s="100" customFormat="1" ht="28.5" customHeight="1">
      <c r="A11" s="160" t="s">
        <v>9</v>
      </c>
      <c r="B11" s="357">
        <v>96081</v>
      </c>
      <c r="C11" s="357">
        <v>11051</v>
      </c>
      <c r="D11" s="357">
        <v>8178</v>
      </c>
      <c r="E11" s="357">
        <f t="shared" si="1"/>
        <v>19229</v>
      </c>
      <c r="F11" s="448">
        <f t="shared" si="0"/>
        <v>20.013322092817518</v>
      </c>
      <c r="G11" s="65">
        <f>0+0+3</f>
        <v>3</v>
      </c>
      <c r="H11" s="65">
        <f>7+4+5</f>
        <v>16</v>
      </c>
      <c r="I11" s="65">
        <f>7+5+4</f>
        <v>16</v>
      </c>
      <c r="J11" s="65">
        <f>4+2+2</f>
        <v>8</v>
      </c>
      <c r="K11" s="65">
        <f t="shared" si="3"/>
        <v>43</v>
      </c>
      <c r="L11" s="452">
        <f>G11+7</f>
        <v>10</v>
      </c>
      <c r="M11" s="494">
        <v>10</v>
      </c>
      <c r="N11" s="159">
        <f t="shared" si="2"/>
        <v>100</v>
      </c>
      <c r="O11" s="359">
        <f>0+0+1815</f>
        <v>1815</v>
      </c>
      <c r="P11" s="359">
        <f>545+658+613</f>
        <v>1816</v>
      </c>
      <c r="Q11" s="359">
        <f>11014+98+280</f>
        <v>11392</v>
      </c>
      <c r="R11" s="359">
        <f>2109+945+1152</f>
        <v>4206</v>
      </c>
      <c r="S11" s="359">
        <f>SUM(O11:R11)</f>
        <v>19229</v>
      </c>
      <c r="T11" s="359">
        <f>O11+545</f>
        <v>2360</v>
      </c>
      <c r="U11" s="357">
        <v>1920</v>
      </c>
      <c r="V11" s="357">
        <v>572</v>
      </c>
      <c r="W11" s="477">
        <f>U11+V11</f>
        <v>2492</v>
      </c>
      <c r="X11" s="472">
        <v>1920</v>
      </c>
      <c r="Y11" s="473"/>
      <c r="Z11" s="474">
        <v>571</v>
      </c>
      <c r="AA11" s="475">
        <v>1</v>
      </c>
      <c r="AB11" s="475">
        <f t="shared" ref="AB11:AB14" si="5">SUM(X11:AA11)</f>
        <v>2492</v>
      </c>
      <c r="AC11" s="497">
        <v>10</v>
      </c>
      <c r="AD11" s="497">
        <v>4</v>
      </c>
    </row>
    <row r="12" spans="1:30" s="100" customFormat="1" ht="28.5" customHeight="1">
      <c r="A12" s="451" t="s">
        <v>10</v>
      </c>
      <c r="B12" s="421">
        <v>26325</v>
      </c>
      <c r="C12" s="421">
        <v>4085</v>
      </c>
      <c r="D12" s="421">
        <v>1180</v>
      </c>
      <c r="E12" s="421">
        <f t="shared" si="1"/>
        <v>5265</v>
      </c>
      <c r="F12" s="449">
        <f t="shared" si="0"/>
        <v>20</v>
      </c>
      <c r="G12" s="452">
        <f>1+1+6</f>
        <v>8</v>
      </c>
      <c r="H12" s="452">
        <f>2+2+3</f>
        <v>7</v>
      </c>
      <c r="I12" s="452">
        <f>0+0+1</f>
        <v>1</v>
      </c>
      <c r="J12" s="452"/>
      <c r="K12" s="452">
        <f t="shared" si="3"/>
        <v>16</v>
      </c>
      <c r="L12" s="452">
        <f>G12+2</f>
        <v>10</v>
      </c>
      <c r="M12" s="494">
        <v>10</v>
      </c>
      <c r="N12" s="159">
        <f>M12*100/L12</f>
        <v>100</v>
      </c>
      <c r="O12" s="453">
        <f>286+0+20</f>
        <v>306</v>
      </c>
      <c r="P12" s="453">
        <f>390+953+1004</f>
        <v>2347</v>
      </c>
      <c r="Q12" s="453">
        <f>1076+1314+12</f>
        <v>2402</v>
      </c>
      <c r="R12" s="453">
        <f>210+0+0</f>
        <v>210</v>
      </c>
      <c r="S12" s="453">
        <f t="shared" ref="S12:S14" si="6">SUM(O12:R12)</f>
        <v>5265</v>
      </c>
      <c r="T12" s="359">
        <f>O12+390</f>
        <v>696</v>
      </c>
      <c r="U12" s="357">
        <v>236</v>
      </c>
      <c r="V12" s="357">
        <v>460</v>
      </c>
      <c r="W12" s="477">
        <f t="shared" ref="W12:W14" si="7">U12+V12</f>
        <v>696</v>
      </c>
      <c r="X12" s="472">
        <v>195</v>
      </c>
      <c r="Y12" s="473"/>
      <c r="Z12" s="474">
        <v>460</v>
      </c>
      <c r="AA12" s="475"/>
      <c r="AB12" s="475">
        <f t="shared" si="5"/>
        <v>655</v>
      </c>
      <c r="AC12" s="497">
        <v>5</v>
      </c>
      <c r="AD12" s="497">
        <v>2</v>
      </c>
    </row>
    <row r="13" spans="1:30" s="100" customFormat="1" ht="28.5" customHeight="1">
      <c r="A13" s="156" t="s">
        <v>11</v>
      </c>
      <c r="B13" s="357">
        <v>109002</v>
      </c>
      <c r="C13" s="357">
        <v>11172</v>
      </c>
      <c r="D13" s="357">
        <v>10652</v>
      </c>
      <c r="E13" s="357">
        <f t="shared" si="1"/>
        <v>21824</v>
      </c>
      <c r="F13" s="448">
        <f t="shared" si="0"/>
        <v>20.021650978881123</v>
      </c>
      <c r="G13" s="65">
        <f>1+7+5</f>
        <v>13</v>
      </c>
      <c r="H13" s="65">
        <f>2+5+5</f>
        <v>12</v>
      </c>
      <c r="I13" s="65">
        <f>7+17+14</f>
        <v>38</v>
      </c>
      <c r="J13" s="65">
        <f>1+6+5</f>
        <v>12</v>
      </c>
      <c r="K13" s="65">
        <f t="shared" si="3"/>
        <v>75</v>
      </c>
      <c r="L13" s="452">
        <f>G13+2</f>
        <v>15</v>
      </c>
      <c r="M13" s="471">
        <v>14</v>
      </c>
      <c r="N13" s="159">
        <f>M13*100/L13</f>
        <v>93.333333333333329</v>
      </c>
      <c r="O13" s="359">
        <f>125+444+473</f>
        <v>1042</v>
      </c>
      <c r="P13" s="359">
        <f>3976+748+739</f>
        <v>5463</v>
      </c>
      <c r="Q13" s="359">
        <f>447+2291+4502</f>
        <v>7240</v>
      </c>
      <c r="R13" s="359">
        <f>404+2568+5107</f>
        <v>8079</v>
      </c>
      <c r="S13" s="359">
        <f t="shared" si="6"/>
        <v>21824</v>
      </c>
      <c r="T13" s="359">
        <f>O13+3976</f>
        <v>5018</v>
      </c>
      <c r="U13" s="357">
        <v>2162</v>
      </c>
      <c r="V13" s="357">
        <v>774</v>
      </c>
      <c r="W13" s="506">
        <f t="shared" si="7"/>
        <v>2936</v>
      </c>
      <c r="X13" s="472">
        <v>1686</v>
      </c>
      <c r="Y13" s="473"/>
      <c r="Z13" s="474">
        <v>774</v>
      </c>
      <c r="AA13" s="475"/>
      <c r="AB13" s="475">
        <f t="shared" si="5"/>
        <v>2460</v>
      </c>
      <c r="AC13" s="236">
        <v>7</v>
      </c>
      <c r="AD13" s="497">
        <v>5</v>
      </c>
    </row>
    <row r="14" spans="1:30" s="100" customFormat="1" ht="28.5" customHeight="1">
      <c r="A14" s="163" t="s">
        <v>12</v>
      </c>
      <c r="B14" s="357">
        <v>11593</v>
      </c>
      <c r="C14" s="357">
        <v>2324</v>
      </c>
      <c r="D14" s="358"/>
      <c r="E14" s="421">
        <f t="shared" si="1"/>
        <v>2324</v>
      </c>
      <c r="F14" s="449">
        <f t="shared" si="0"/>
        <v>20.046579832657638</v>
      </c>
      <c r="G14" s="65">
        <f>4+1+10</f>
        <v>15</v>
      </c>
      <c r="H14" s="65">
        <f>0+0+10</f>
        <v>10</v>
      </c>
      <c r="I14" s="65"/>
      <c r="J14" s="65">
        <f>0+0+1</f>
        <v>1</v>
      </c>
      <c r="K14" s="65">
        <f t="shared" si="3"/>
        <v>26</v>
      </c>
      <c r="L14" s="165">
        <f t="shared" ref="L14" si="8">G14</f>
        <v>15</v>
      </c>
      <c r="M14" s="513">
        <v>15</v>
      </c>
      <c r="N14" s="159">
        <f>M14*100/L14</f>
        <v>100</v>
      </c>
      <c r="O14" s="359">
        <f>235+138+628</f>
        <v>1001</v>
      </c>
      <c r="P14" s="359">
        <f>58+55+324</f>
        <v>437</v>
      </c>
      <c r="Q14" s="359">
        <f>428+109+349</f>
        <v>886</v>
      </c>
      <c r="R14" s="359"/>
      <c r="S14" s="359">
        <f t="shared" si="6"/>
        <v>2324</v>
      </c>
      <c r="T14" s="454">
        <f>O14+58</f>
        <v>1059</v>
      </c>
      <c r="U14" s="357">
        <v>1059</v>
      </c>
      <c r="V14" s="357"/>
      <c r="W14" s="477">
        <f t="shared" si="7"/>
        <v>1059</v>
      </c>
      <c r="X14" s="472">
        <v>1059</v>
      </c>
      <c r="Y14" s="473"/>
      <c r="Z14" s="474"/>
      <c r="AA14" s="475"/>
      <c r="AB14" s="475">
        <f t="shared" si="5"/>
        <v>1059</v>
      </c>
      <c r="AC14" s="498">
        <v>10</v>
      </c>
      <c r="AD14" s="498"/>
    </row>
    <row r="15" spans="1:30" s="83" customFormat="1" ht="31.5" customHeight="1">
      <c r="A15" s="319" t="s">
        <v>5</v>
      </c>
      <c r="B15" s="356">
        <f>SUM(B8:B14)</f>
        <v>379407</v>
      </c>
      <c r="C15" s="356">
        <f t="shared" ref="C15" si="9">SUM(C8:C14)</f>
        <v>45878</v>
      </c>
      <c r="D15" s="356">
        <f>SUM(D8:D14)</f>
        <v>37485</v>
      </c>
      <c r="E15" s="356">
        <f t="shared" si="1"/>
        <v>83363</v>
      </c>
      <c r="F15" s="450">
        <f t="shared" ref="F15" si="10">E15*100/B15</f>
        <v>21.971919337281602</v>
      </c>
      <c r="G15" s="38">
        <f>SUM(G8:G14)</f>
        <v>90</v>
      </c>
      <c r="H15" s="38">
        <f t="shared" ref="H15:K15" si="11">SUM(H8:H14)</f>
        <v>53</v>
      </c>
      <c r="I15" s="38">
        <f t="shared" si="11"/>
        <v>60</v>
      </c>
      <c r="J15" s="38">
        <f t="shared" si="11"/>
        <v>23</v>
      </c>
      <c r="K15" s="38">
        <f t="shared" si="11"/>
        <v>226</v>
      </c>
      <c r="L15" s="37">
        <f>SUM(L8:L14)</f>
        <v>107</v>
      </c>
      <c r="M15" s="37">
        <f>SUM(M8:M14)</f>
        <v>104</v>
      </c>
      <c r="N15" s="37">
        <f>M15*100/L15</f>
        <v>97.196261682242991</v>
      </c>
      <c r="O15" s="356">
        <f>SUM(O8:O14)</f>
        <v>16456</v>
      </c>
      <c r="P15" s="356">
        <f t="shared" ref="P15:T15" si="12">SUM(P8:P14)</f>
        <v>24599</v>
      </c>
      <c r="Q15" s="356">
        <f t="shared" si="12"/>
        <v>29067</v>
      </c>
      <c r="R15" s="356">
        <f t="shared" si="12"/>
        <v>13241</v>
      </c>
      <c r="S15" s="356">
        <f t="shared" si="12"/>
        <v>83363</v>
      </c>
      <c r="T15" s="356">
        <f t="shared" si="12"/>
        <v>28690</v>
      </c>
      <c r="U15" s="356">
        <f>SUM(U8:U14)</f>
        <v>10323</v>
      </c>
      <c r="V15" s="356">
        <f>SUM(V8:V14)</f>
        <v>16874</v>
      </c>
      <c r="W15" s="476">
        <f>SUM(W8:W14)</f>
        <v>27197</v>
      </c>
      <c r="X15" s="425">
        <f>SUM(X8:X14)</f>
        <v>9188</v>
      </c>
      <c r="Y15" s="425">
        <f t="shared" ref="Y15:AB15" si="13">SUM(Y8:Y14)</f>
        <v>0</v>
      </c>
      <c r="Z15" s="425">
        <f>SUM(Z8:Z14)</f>
        <v>11916</v>
      </c>
      <c r="AA15" s="425">
        <f t="shared" si="13"/>
        <v>1</v>
      </c>
      <c r="AB15" s="425">
        <f t="shared" si="13"/>
        <v>21105</v>
      </c>
      <c r="AC15" s="71">
        <f>SUM(AC8:AC14)</f>
        <v>53</v>
      </c>
      <c r="AD15" s="71">
        <f>SUM(AD8:AD14)</f>
        <v>11</v>
      </c>
    </row>
    <row r="16" spans="1:30" ht="19.5" customHeight="1" thickBot="1">
      <c r="D16" s="420"/>
      <c r="E16" s="420"/>
      <c r="F16" s="420"/>
    </row>
    <row r="17" spans="1:28" ht="20.25" customHeight="1">
      <c r="A17" s="178" t="s">
        <v>37</v>
      </c>
      <c r="B17" s="355"/>
      <c r="C17" s="355"/>
      <c r="D17" s="355"/>
      <c r="E17" s="355"/>
      <c r="F17" s="355"/>
      <c r="G17" s="179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253"/>
      <c r="U17" s="58"/>
      <c r="V17" s="58"/>
      <c r="W17" s="58"/>
      <c r="X17" s="58"/>
      <c r="Y17" s="58"/>
      <c r="Z17" s="58"/>
      <c r="AA17" s="58"/>
      <c r="AB17" s="58"/>
    </row>
    <row r="18" spans="1:28" ht="18.75" customHeight="1">
      <c r="A18" s="180" t="s">
        <v>13</v>
      </c>
      <c r="B18" s="361" t="s">
        <v>177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254"/>
      <c r="U18" s="58"/>
      <c r="V18" s="58"/>
      <c r="W18" s="58"/>
      <c r="X18" s="58"/>
      <c r="Y18" s="58"/>
      <c r="Z18" s="58"/>
      <c r="AA18" s="58"/>
      <c r="AB18" s="58"/>
    </row>
    <row r="19" spans="1:28" ht="18.75" customHeight="1">
      <c r="A19" s="354" t="s">
        <v>176</v>
      </c>
      <c r="B19" s="361" t="s">
        <v>178</v>
      </c>
      <c r="C19" s="59"/>
      <c r="D19" s="59"/>
      <c r="E19" s="59"/>
      <c r="F19" s="59"/>
      <c r="G19" s="59"/>
      <c r="H19" s="60"/>
      <c r="I19" s="60"/>
      <c r="J19" s="58"/>
      <c r="K19" s="58"/>
      <c r="L19" s="58"/>
      <c r="M19" s="58"/>
      <c r="N19" s="58"/>
      <c r="O19" s="58"/>
      <c r="P19" s="58"/>
      <c r="Q19" s="353"/>
      <c r="R19" s="58"/>
      <c r="S19" s="58"/>
      <c r="T19" s="254"/>
      <c r="U19" s="58"/>
      <c r="V19" s="58"/>
      <c r="W19" s="58"/>
      <c r="X19" s="58"/>
      <c r="Y19" s="58"/>
      <c r="Z19" s="58"/>
      <c r="AA19" s="58"/>
      <c r="AB19" s="58"/>
    </row>
    <row r="20" spans="1:28" ht="18.75" customHeight="1">
      <c r="A20" s="180"/>
      <c r="B20" s="361" t="s">
        <v>179</v>
      </c>
      <c r="C20" s="59"/>
      <c r="D20" s="59"/>
      <c r="E20" s="59"/>
      <c r="F20" s="59"/>
      <c r="G20" s="59"/>
      <c r="H20" s="60"/>
      <c r="I20" s="60"/>
      <c r="J20" s="58"/>
      <c r="K20" s="58"/>
      <c r="L20" s="58"/>
      <c r="M20" s="58"/>
      <c r="N20" s="58"/>
      <c r="O20" s="58"/>
      <c r="P20" s="58"/>
      <c r="Q20" s="353"/>
      <c r="R20" s="58"/>
      <c r="S20" s="58"/>
      <c r="T20" s="254"/>
      <c r="U20" s="58"/>
      <c r="V20" s="58"/>
      <c r="W20" s="58"/>
      <c r="X20" s="58"/>
      <c r="Y20" s="58"/>
      <c r="Z20" s="58"/>
      <c r="AA20" s="58"/>
      <c r="AB20" s="58"/>
    </row>
    <row r="21" spans="1:28" ht="18.75" customHeight="1">
      <c r="A21" s="180"/>
      <c r="B21" s="361" t="s">
        <v>180</v>
      </c>
      <c r="C21" s="59"/>
      <c r="D21" s="59"/>
      <c r="E21" s="59"/>
      <c r="F21" s="59"/>
      <c r="G21" s="59"/>
      <c r="H21" s="60"/>
      <c r="I21" s="60"/>
      <c r="J21" s="58"/>
      <c r="K21" s="58"/>
      <c r="L21" s="58"/>
      <c r="M21" s="58"/>
      <c r="N21" s="58"/>
      <c r="O21" s="58"/>
      <c r="P21" s="58"/>
      <c r="Q21" s="353"/>
      <c r="R21" s="58"/>
      <c r="S21" s="58"/>
      <c r="T21" s="254"/>
      <c r="U21" s="58"/>
      <c r="V21" s="58"/>
      <c r="W21" s="58"/>
      <c r="X21" s="58"/>
      <c r="Y21" s="58"/>
      <c r="Z21" s="58"/>
      <c r="AA21" s="58"/>
      <c r="AB21" s="58"/>
    </row>
    <row r="22" spans="1:28" ht="18.75" customHeight="1">
      <c r="A22" s="180"/>
      <c r="B22" s="361" t="s">
        <v>181</v>
      </c>
      <c r="C22" s="59"/>
      <c r="D22" s="59"/>
      <c r="E22" s="59"/>
      <c r="F22" s="59"/>
      <c r="G22" s="59"/>
      <c r="H22" s="60"/>
      <c r="I22" s="60"/>
      <c r="J22" s="58"/>
      <c r="K22" s="58"/>
      <c r="L22" s="58"/>
      <c r="M22" s="58"/>
      <c r="N22" s="58"/>
      <c r="O22" s="58"/>
      <c r="P22" s="58"/>
      <c r="Q22" s="353"/>
      <c r="R22" s="58"/>
      <c r="S22" s="58"/>
      <c r="T22" s="254"/>
      <c r="U22" s="58"/>
      <c r="V22" s="58"/>
      <c r="W22" s="58"/>
      <c r="X22" s="58"/>
      <c r="Y22" s="58"/>
      <c r="Z22" s="58"/>
      <c r="AA22" s="58"/>
      <c r="AB22" s="58"/>
    </row>
    <row r="23" spans="1:28" ht="18.75" customHeight="1">
      <c r="A23" s="180"/>
      <c r="B23" s="362" t="s">
        <v>182</v>
      </c>
      <c r="C23" s="59"/>
      <c r="D23" s="59"/>
      <c r="E23" s="59"/>
      <c r="F23" s="59"/>
      <c r="G23" s="59"/>
      <c r="H23" s="60"/>
      <c r="I23" s="60"/>
      <c r="J23" s="58"/>
      <c r="K23" s="58"/>
      <c r="L23" s="58"/>
      <c r="M23" s="58"/>
      <c r="N23" s="58"/>
      <c r="O23" s="58"/>
      <c r="P23" s="58"/>
      <c r="Q23" s="353"/>
      <c r="R23" s="58"/>
      <c r="S23" s="58"/>
      <c r="T23" s="254"/>
      <c r="U23" s="58"/>
      <c r="V23" s="58"/>
      <c r="W23" s="58"/>
      <c r="X23" s="58"/>
      <c r="Y23" s="58"/>
      <c r="Z23" s="58"/>
      <c r="AA23" s="58"/>
      <c r="AB23" s="58"/>
    </row>
    <row r="24" spans="1:28" ht="18.75" customHeight="1">
      <c r="A24" s="180"/>
      <c r="B24" s="361" t="s">
        <v>183</v>
      </c>
      <c r="C24" s="59"/>
      <c r="D24" s="59"/>
      <c r="E24" s="59"/>
      <c r="F24" s="59"/>
      <c r="G24" s="59"/>
      <c r="H24" s="60"/>
      <c r="I24" s="60"/>
      <c r="J24" s="58"/>
      <c r="K24" s="58"/>
      <c r="L24" s="58"/>
      <c r="M24" s="58"/>
      <c r="N24" s="58"/>
      <c r="O24" s="58"/>
      <c r="P24" s="58"/>
      <c r="Q24" s="353"/>
      <c r="R24" s="58"/>
      <c r="S24" s="58"/>
      <c r="T24" s="254"/>
      <c r="U24" s="58"/>
      <c r="V24" s="58"/>
      <c r="W24" s="58"/>
      <c r="X24" s="58"/>
      <c r="Y24" s="58"/>
      <c r="Z24" s="58"/>
      <c r="AA24" s="58"/>
      <c r="AB24" s="58"/>
    </row>
    <row r="25" spans="1:28" ht="18.75" customHeight="1">
      <c r="A25" s="180"/>
      <c r="B25" s="361" t="s">
        <v>184</v>
      </c>
      <c r="C25" s="59"/>
      <c r="D25" s="59"/>
      <c r="E25" s="59"/>
      <c r="F25" s="59"/>
      <c r="G25" s="59"/>
      <c r="H25" s="60"/>
      <c r="I25" s="60"/>
      <c r="J25" s="58"/>
      <c r="K25" s="58"/>
      <c r="L25" s="58"/>
      <c r="M25" s="58"/>
      <c r="N25" s="58"/>
      <c r="O25" s="58"/>
      <c r="P25" s="58"/>
      <c r="Q25" s="353"/>
      <c r="R25" s="58"/>
      <c r="S25" s="58"/>
      <c r="T25" s="254"/>
      <c r="U25" s="58"/>
      <c r="V25" s="58"/>
      <c r="W25" s="58"/>
      <c r="X25" s="58"/>
      <c r="Y25" s="58"/>
      <c r="Z25" s="58"/>
      <c r="AA25" s="58"/>
      <c r="AB25" s="58"/>
    </row>
    <row r="26" spans="1:28" ht="18.75" customHeight="1">
      <c r="A26" s="180"/>
      <c r="B26" s="361" t="s">
        <v>185</v>
      </c>
      <c r="C26" s="59"/>
      <c r="D26" s="59"/>
      <c r="E26" s="59"/>
      <c r="F26" s="59"/>
      <c r="G26" s="59"/>
      <c r="H26" s="60"/>
      <c r="I26" s="60"/>
      <c r="J26" s="58"/>
      <c r="K26" s="58"/>
      <c r="L26" s="58"/>
      <c r="M26" s="58"/>
      <c r="N26" s="58"/>
      <c r="O26" s="58"/>
      <c r="P26" s="58"/>
      <c r="Q26" s="353"/>
      <c r="R26" s="58"/>
      <c r="S26" s="58"/>
      <c r="T26" s="254"/>
      <c r="U26" s="58"/>
      <c r="V26" s="58"/>
      <c r="W26" s="58"/>
      <c r="X26" s="58"/>
      <c r="Y26" s="58"/>
      <c r="Z26" s="58"/>
      <c r="AA26" s="58"/>
      <c r="AB26" s="58"/>
    </row>
    <row r="27" spans="1:28" ht="18.75" customHeight="1">
      <c r="A27" s="180" t="s">
        <v>186</v>
      </c>
      <c r="B27" s="361" t="s">
        <v>187</v>
      </c>
      <c r="C27" s="59"/>
      <c r="D27" s="59"/>
      <c r="E27" s="59"/>
      <c r="F27" s="59"/>
      <c r="G27" s="59"/>
      <c r="H27" s="60"/>
      <c r="I27" s="60"/>
      <c r="J27" s="58"/>
      <c r="K27" s="58"/>
      <c r="L27" s="58"/>
      <c r="M27" s="58"/>
      <c r="N27" s="58"/>
      <c r="O27" s="58"/>
      <c r="P27" s="58"/>
      <c r="Q27" s="353"/>
      <c r="R27" s="58"/>
      <c r="S27" s="58"/>
      <c r="T27" s="254"/>
      <c r="U27" s="58"/>
      <c r="V27" s="58"/>
      <c r="W27" s="58"/>
      <c r="X27" s="58"/>
      <c r="Y27" s="58"/>
      <c r="Z27" s="58"/>
      <c r="AA27" s="58"/>
      <c r="AB27" s="58"/>
    </row>
    <row r="28" spans="1:28" ht="18.75" customHeight="1">
      <c r="A28" s="180"/>
      <c r="B28" s="361" t="s">
        <v>188</v>
      </c>
      <c r="C28" s="59"/>
      <c r="D28" s="59"/>
      <c r="E28" s="59"/>
      <c r="F28" s="59"/>
      <c r="G28" s="59"/>
      <c r="H28" s="60"/>
      <c r="I28" s="60"/>
      <c r="J28" s="58"/>
      <c r="K28" s="58"/>
      <c r="L28" s="58"/>
      <c r="M28" s="58"/>
      <c r="N28" s="58"/>
      <c r="O28" s="58"/>
      <c r="P28" s="58"/>
      <c r="Q28" s="353"/>
      <c r="R28" s="58"/>
      <c r="S28" s="58"/>
      <c r="T28" s="254"/>
      <c r="U28" s="58"/>
      <c r="V28" s="58"/>
      <c r="W28" s="58"/>
      <c r="X28" s="58"/>
      <c r="Y28" s="58"/>
      <c r="Z28" s="58"/>
      <c r="AA28" s="58"/>
      <c r="AB28" s="58"/>
    </row>
    <row r="29" spans="1:28" ht="18.75" customHeight="1">
      <c r="A29" s="180"/>
      <c r="B29" s="361" t="s">
        <v>189</v>
      </c>
      <c r="C29" s="59"/>
      <c r="D29" s="59"/>
      <c r="E29" s="59"/>
      <c r="F29" s="59"/>
      <c r="G29" s="59"/>
      <c r="H29" s="60"/>
      <c r="I29" s="60"/>
      <c r="J29" s="58"/>
      <c r="K29" s="58"/>
      <c r="L29" s="58"/>
      <c r="M29" s="58"/>
      <c r="N29" s="58"/>
      <c r="O29" s="58"/>
      <c r="P29" s="58"/>
      <c r="Q29" s="353"/>
      <c r="R29" s="58"/>
      <c r="S29" s="58"/>
      <c r="T29" s="254"/>
      <c r="U29" s="58"/>
      <c r="V29" s="58"/>
      <c r="W29" s="58"/>
      <c r="X29" s="58"/>
      <c r="Y29" s="58"/>
      <c r="Z29" s="58"/>
      <c r="AA29" s="58"/>
      <c r="AB29" s="58"/>
    </row>
    <row r="30" spans="1:28" ht="18.75" customHeight="1">
      <c r="A30" s="180"/>
      <c r="B30" s="361"/>
      <c r="C30" s="59"/>
      <c r="D30" s="59"/>
      <c r="E30" s="59"/>
      <c r="F30" s="59"/>
      <c r="G30" s="59"/>
      <c r="H30" s="60"/>
      <c r="I30" s="60"/>
      <c r="J30" s="58"/>
      <c r="K30" s="58"/>
      <c r="L30" s="58"/>
      <c r="M30" s="58"/>
      <c r="N30" s="58"/>
      <c r="O30" s="58"/>
      <c r="P30" s="58"/>
      <c r="Q30" s="353"/>
      <c r="R30" s="58"/>
      <c r="S30" s="58"/>
      <c r="T30" s="254"/>
      <c r="U30" s="58"/>
      <c r="V30" s="58"/>
      <c r="W30" s="58"/>
      <c r="X30" s="58"/>
      <c r="Y30" s="58"/>
      <c r="Z30" s="58"/>
      <c r="AA30" s="58"/>
      <c r="AB30" s="58"/>
    </row>
    <row r="31" spans="1:28" ht="18.75" customHeight="1">
      <c r="A31" s="180" t="s">
        <v>34</v>
      </c>
      <c r="B31" s="361" t="s">
        <v>190</v>
      </c>
      <c r="C31" s="59"/>
      <c r="D31" s="59"/>
      <c r="E31" s="59"/>
      <c r="F31" s="59"/>
      <c r="G31" s="59"/>
      <c r="H31" s="60"/>
      <c r="I31" s="60"/>
      <c r="J31" s="58"/>
      <c r="K31" s="58"/>
      <c r="L31" s="58"/>
      <c r="M31" s="58"/>
      <c r="N31" s="58"/>
      <c r="O31" s="58"/>
      <c r="P31" s="58"/>
      <c r="Q31" s="353"/>
      <c r="R31" s="58"/>
      <c r="S31" s="58"/>
      <c r="T31" s="254"/>
      <c r="U31" s="58"/>
      <c r="V31" s="58"/>
      <c r="W31" s="58"/>
      <c r="X31" s="58"/>
      <c r="Y31" s="58"/>
      <c r="Z31" s="58"/>
      <c r="AA31" s="58"/>
      <c r="AB31" s="58"/>
    </row>
    <row r="32" spans="1:28" ht="12.75" customHeight="1" thickBot="1">
      <c r="A32" s="181"/>
      <c r="B32" s="61"/>
      <c r="C32" s="62"/>
      <c r="D32" s="62"/>
      <c r="E32" s="62"/>
      <c r="F32" s="62"/>
      <c r="G32" s="62"/>
      <c r="H32" s="62"/>
      <c r="I32" s="62"/>
      <c r="J32" s="62"/>
      <c r="K32" s="61"/>
      <c r="L32" s="61"/>
      <c r="M32" s="61"/>
      <c r="N32" s="61"/>
      <c r="O32" s="61"/>
      <c r="P32" s="61"/>
      <c r="Q32" s="61"/>
      <c r="R32" s="61"/>
      <c r="S32" s="61"/>
      <c r="T32" s="255"/>
      <c r="U32" s="58"/>
      <c r="V32" s="58"/>
      <c r="W32" s="58"/>
      <c r="X32" s="58"/>
      <c r="Y32" s="58"/>
      <c r="Z32" s="58"/>
      <c r="AA32" s="58"/>
      <c r="AB32" s="58"/>
    </row>
    <row r="41" spans="4:8" ht="27.75" customHeight="1">
      <c r="D41" s="25">
        <v>1431</v>
      </c>
      <c r="E41" s="25">
        <v>0</v>
      </c>
      <c r="F41" s="25">
        <v>286</v>
      </c>
      <c r="G41" s="25">
        <f>SUM(E41:F41)</f>
        <v>286</v>
      </c>
      <c r="H41" s="430">
        <f>G41*100/D41</f>
        <v>19.986023759608667</v>
      </c>
    </row>
    <row r="42" spans="4:8" ht="27.75" customHeight="1">
      <c r="D42" s="25">
        <v>1241</v>
      </c>
      <c r="E42" s="25">
        <v>181</v>
      </c>
      <c r="F42" s="25">
        <v>110</v>
      </c>
      <c r="G42" s="25">
        <f t="shared" ref="G42:G46" si="14">SUM(E42:F42)</f>
        <v>291</v>
      </c>
      <c r="H42" s="430">
        <f t="shared" ref="H42:H47" si="15">G42*100/D42</f>
        <v>23.448831587429492</v>
      </c>
    </row>
    <row r="43" spans="4:8" ht="27.75" customHeight="1">
      <c r="D43" s="25">
        <v>60</v>
      </c>
      <c r="E43" s="25">
        <v>12</v>
      </c>
      <c r="F43" s="25">
        <v>0</v>
      </c>
      <c r="G43" s="25">
        <f t="shared" si="14"/>
        <v>12</v>
      </c>
      <c r="H43" s="430">
        <f t="shared" si="15"/>
        <v>20</v>
      </c>
    </row>
    <row r="44" spans="4:8" ht="27.75" customHeight="1">
      <c r="D44" s="25">
        <v>1999</v>
      </c>
      <c r="E44" s="25">
        <v>401</v>
      </c>
      <c r="F44" s="25">
        <v>0</v>
      </c>
      <c r="G44" s="25">
        <f t="shared" si="14"/>
        <v>401</v>
      </c>
      <c r="H44" s="430">
        <f t="shared" si="15"/>
        <v>20.060030015007502</v>
      </c>
    </row>
    <row r="45" spans="4:8" ht="27.75" customHeight="1">
      <c r="D45" s="25">
        <v>4280</v>
      </c>
      <c r="E45" s="25">
        <v>514</v>
      </c>
      <c r="F45" s="25">
        <v>348</v>
      </c>
      <c r="G45" s="25">
        <f t="shared" si="14"/>
        <v>862</v>
      </c>
      <c r="H45" s="430">
        <f t="shared" si="15"/>
        <v>20.140186915887849</v>
      </c>
    </row>
    <row r="46" spans="4:8" ht="27.75" customHeight="1">
      <c r="D46" s="25">
        <v>19454</v>
      </c>
      <c r="E46" s="25">
        <v>2392</v>
      </c>
      <c r="F46" s="25">
        <v>1500</v>
      </c>
      <c r="G46" s="25">
        <f t="shared" si="14"/>
        <v>3892</v>
      </c>
      <c r="H46" s="430">
        <f t="shared" si="15"/>
        <v>20.006168397244782</v>
      </c>
    </row>
    <row r="47" spans="4:8" ht="27.75" customHeight="1">
      <c r="D47" s="25">
        <f>SUM(D41:D46)</f>
        <v>28465</v>
      </c>
      <c r="E47" s="25">
        <f t="shared" ref="E47:F47" si="16">SUM(E41:E46)</f>
        <v>3500</v>
      </c>
      <c r="F47" s="25">
        <f t="shared" si="16"/>
        <v>2244</v>
      </c>
      <c r="G47" s="25">
        <f>SUM(E47:F47)</f>
        <v>5744</v>
      </c>
      <c r="H47" s="430">
        <f t="shared" si="15"/>
        <v>20.179167398559635</v>
      </c>
    </row>
  </sheetData>
  <mergeCells count="27">
    <mergeCell ref="A1:AD1"/>
    <mergeCell ref="A2:AD2"/>
    <mergeCell ref="AC5:AC7"/>
    <mergeCell ref="AD5:AD7"/>
    <mergeCell ref="O4:AD4"/>
    <mergeCell ref="B4:B6"/>
    <mergeCell ref="G6:J6"/>
    <mergeCell ref="K6:K7"/>
    <mergeCell ref="L6:L7"/>
    <mergeCell ref="O6:R6"/>
    <mergeCell ref="S6:S7"/>
    <mergeCell ref="T6:T7"/>
    <mergeCell ref="O5:T5"/>
    <mergeCell ref="A4:A7"/>
    <mergeCell ref="G5:L5"/>
    <mergeCell ref="M5:N6"/>
    <mergeCell ref="G4:N4"/>
    <mergeCell ref="C5:C7"/>
    <mergeCell ref="E5:E7"/>
    <mergeCell ref="C4:F4"/>
    <mergeCell ref="F5:F7"/>
    <mergeCell ref="D5:D7"/>
    <mergeCell ref="Z6:AA6"/>
    <mergeCell ref="X6:Y6"/>
    <mergeCell ref="U5:W6"/>
    <mergeCell ref="X5:AB5"/>
    <mergeCell ref="AB6:AB7"/>
  </mergeCells>
  <printOptions horizontalCentered="1"/>
  <pageMargins left="0" right="0" top="0.31496062992125984" bottom="0" header="0" footer="0"/>
  <pageSetup paperSize="9" scale="60" orientation="landscape" r:id="rId1"/>
  <headerFooter alignWithMargins="0">
    <oddFooter>&amp;C&amp;8&amp;Z&amp;F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Q31"/>
  <sheetViews>
    <sheetView zoomScale="90" zoomScaleNormal="90" workbookViewId="0">
      <selection activeCell="T12" sqref="T12"/>
    </sheetView>
  </sheetViews>
  <sheetFormatPr defaultRowHeight="27.75" customHeight="1"/>
  <cols>
    <col min="1" max="1" width="17.7109375" style="25" customWidth="1"/>
    <col min="2" max="2" width="8.5703125" style="25" hidden="1" customWidth="1"/>
    <col min="3" max="3" width="9" style="25" hidden="1" customWidth="1"/>
    <col min="4" max="4" width="6.7109375" style="25" hidden="1" customWidth="1"/>
    <col min="5" max="5" width="6.28515625" style="25" hidden="1" customWidth="1"/>
    <col min="6" max="6" width="7.85546875" style="25" hidden="1" customWidth="1"/>
    <col min="7" max="7" width="7.42578125" style="25" hidden="1" customWidth="1"/>
    <col min="8" max="8" width="11.42578125" style="25" customWidth="1"/>
    <col min="9" max="9" width="12" style="25" customWidth="1"/>
    <col min="10" max="10" width="13.140625" style="25" customWidth="1"/>
    <col min="11" max="11" width="14.28515625" style="25" customWidth="1"/>
    <col min="12" max="13" width="10.42578125" style="25" customWidth="1"/>
    <col min="14" max="14" width="12.42578125" style="25" customWidth="1"/>
    <col min="15" max="15" width="17.5703125" style="25" customWidth="1"/>
    <col min="16" max="16" width="12.7109375" style="25" customWidth="1"/>
    <col min="17" max="17" width="17.28515625" style="25" customWidth="1"/>
    <col min="18" max="16384" width="9.140625" style="25"/>
  </cols>
  <sheetData>
    <row r="1" spans="1:17" s="100" customFormat="1" ht="24" customHeight="1">
      <c r="A1" s="638" t="str">
        <f>'(PA-RA1)_งานสอบบัญชี'!A1:AE1</f>
        <v>รายละเอียดแผนการปฏิบัติงานและความก้าวหน้าผลการปฏิบัติงาน ณ วันที่  31 มกราคม 2559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</row>
    <row r="2" spans="1:17" s="100" customFormat="1" ht="24" customHeight="1">
      <c r="A2" s="638" t="s">
        <v>0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</row>
    <row r="3" spans="1:17" s="100" customFormat="1" ht="28.5" customHeight="1">
      <c r="A3" s="154" t="s">
        <v>191</v>
      </c>
    </row>
    <row r="4" spans="1:17" s="83" customFormat="1" ht="23.25" customHeight="1">
      <c r="A4" s="603" t="s">
        <v>13</v>
      </c>
      <c r="B4" s="695" t="s">
        <v>192</v>
      </c>
      <c r="C4" s="696"/>
      <c r="D4" s="696"/>
      <c r="E4" s="696"/>
      <c r="F4" s="696"/>
      <c r="G4" s="697"/>
      <c r="H4" s="624" t="s">
        <v>193</v>
      </c>
      <c r="I4" s="625"/>
      <c r="J4" s="625"/>
      <c r="K4" s="625"/>
      <c r="L4" s="625"/>
      <c r="M4" s="625"/>
      <c r="N4" s="625"/>
      <c r="O4" s="625"/>
      <c r="P4" s="625"/>
      <c r="Q4" s="626"/>
    </row>
    <row r="5" spans="1:17" s="83" customFormat="1" ht="28.5" customHeight="1">
      <c r="A5" s="604"/>
      <c r="B5" s="573" t="s">
        <v>4</v>
      </c>
      <c r="C5" s="574"/>
      <c r="D5" s="574"/>
      <c r="E5" s="575"/>
      <c r="F5" s="654" t="s">
        <v>23</v>
      </c>
      <c r="G5" s="655"/>
      <c r="H5" s="573" t="s">
        <v>4</v>
      </c>
      <c r="I5" s="574"/>
      <c r="J5" s="574"/>
      <c r="K5" s="575"/>
      <c r="L5" s="578" t="s">
        <v>23</v>
      </c>
      <c r="M5" s="579"/>
      <c r="N5" s="579"/>
      <c r="O5" s="579"/>
      <c r="P5" s="579"/>
      <c r="Q5" s="580"/>
    </row>
    <row r="6" spans="1:17" s="83" customFormat="1" ht="28.5" customHeight="1">
      <c r="A6" s="604"/>
      <c r="B6" s="587" t="s">
        <v>1</v>
      </c>
      <c r="C6" s="587"/>
      <c r="D6" s="587" t="s">
        <v>2</v>
      </c>
      <c r="E6" s="653" t="s">
        <v>26</v>
      </c>
      <c r="F6" s="621"/>
      <c r="G6" s="622"/>
      <c r="H6" s="587" t="s">
        <v>1</v>
      </c>
      <c r="I6" s="587"/>
      <c r="J6" s="587" t="s">
        <v>2</v>
      </c>
      <c r="K6" s="653" t="s">
        <v>26</v>
      </c>
      <c r="L6" s="581" t="s">
        <v>21</v>
      </c>
      <c r="M6" s="581" t="s">
        <v>25</v>
      </c>
      <c r="N6" s="578" t="s">
        <v>194</v>
      </c>
      <c r="O6" s="579"/>
      <c r="P6" s="580"/>
      <c r="Q6" s="655" t="s">
        <v>198</v>
      </c>
    </row>
    <row r="7" spans="1:17" s="83" customFormat="1" ht="57" customHeight="1">
      <c r="A7" s="605"/>
      <c r="B7" s="322">
        <v>1</v>
      </c>
      <c r="C7" s="322">
        <v>2</v>
      </c>
      <c r="D7" s="615"/>
      <c r="E7" s="577"/>
      <c r="F7" s="321" t="s">
        <v>14</v>
      </c>
      <c r="G7" s="320" t="s">
        <v>25</v>
      </c>
      <c r="H7" s="322">
        <v>1</v>
      </c>
      <c r="I7" s="322">
        <v>2</v>
      </c>
      <c r="J7" s="615"/>
      <c r="K7" s="577"/>
      <c r="L7" s="582"/>
      <c r="M7" s="582"/>
      <c r="N7" s="320" t="s">
        <v>195</v>
      </c>
      <c r="O7" s="320" t="s">
        <v>196</v>
      </c>
      <c r="P7" s="320" t="s">
        <v>197</v>
      </c>
      <c r="Q7" s="622"/>
    </row>
    <row r="8" spans="1:17" s="100" customFormat="1" ht="28.5" customHeight="1">
      <c r="A8" s="155" t="s">
        <v>6</v>
      </c>
      <c r="B8" s="65">
        <f>10+3+0</f>
        <v>13</v>
      </c>
      <c r="C8" s="65"/>
      <c r="D8" s="65">
        <f t="shared" ref="D8:D14" si="0">SUM(B8:C8)</f>
        <v>13</v>
      </c>
      <c r="E8" s="65">
        <f>10+3</f>
        <v>13</v>
      </c>
      <c r="F8" s="168">
        <v>12</v>
      </c>
      <c r="G8" s="426">
        <f>F8*100/E8</f>
        <v>92.307692307692307</v>
      </c>
      <c r="H8" s="359">
        <f>3+9+1</f>
        <v>13</v>
      </c>
      <c r="I8" s="359"/>
      <c r="J8" s="359">
        <f t="shared" ref="J8:J14" si="1">SUM(H8:I8)</f>
        <v>13</v>
      </c>
      <c r="K8" s="359">
        <f>H8</f>
        <v>13</v>
      </c>
      <c r="L8" s="168">
        <v>13</v>
      </c>
      <c r="M8" s="435">
        <f>L8*100/K8</f>
        <v>100</v>
      </c>
      <c r="N8" s="360">
        <v>13</v>
      </c>
      <c r="O8" s="360">
        <v>13</v>
      </c>
      <c r="P8" s="360">
        <v>13</v>
      </c>
      <c r="Q8" s="159">
        <v>13</v>
      </c>
    </row>
    <row r="9" spans="1:17" s="100" customFormat="1" ht="28.5" customHeight="1">
      <c r="A9" s="156" t="s">
        <v>7</v>
      </c>
      <c r="B9" s="65">
        <f>0+1+4</f>
        <v>5</v>
      </c>
      <c r="C9" s="65"/>
      <c r="D9" s="65">
        <f t="shared" si="0"/>
        <v>5</v>
      </c>
      <c r="E9" s="65">
        <f>0+1</f>
        <v>1</v>
      </c>
      <c r="F9" s="168">
        <v>1</v>
      </c>
      <c r="G9" s="426"/>
      <c r="H9" s="359">
        <f>0+1+4</f>
        <v>5</v>
      </c>
      <c r="I9" s="359"/>
      <c r="J9" s="359">
        <f t="shared" si="1"/>
        <v>5</v>
      </c>
      <c r="K9" s="359">
        <f>H9</f>
        <v>5</v>
      </c>
      <c r="L9" s="168">
        <v>5</v>
      </c>
      <c r="M9" s="435">
        <f>L9*100/K9</f>
        <v>100</v>
      </c>
      <c r="N9" s="360">
        <v>5</v>
      </c>
      <c r="O9" s="360">
        <v>5</v>
      </c>
      <c r="P9" s="360">
        <v>5</v>
      </c>
      <c r="Q9" s="159">
        <v>5</v>
      </c>
    </row>
    <row r="10" spans="1:17" s="100" customFormat="1" ht="28.5" customHeight="1">
      <c r="A10" s="156" t="s">
        <v>8</v>
      </c>
      <c r="B10" s="65">
        <f>0+0+5</f>
        <v>5</v>
      </c>
      <c r="C10" s="65"/>
      <c r="D10" s="65">
        <f t="shared" si="0"/>
        <v>5</v>
      </c>
      <c r="E10" s="65"/>
      <c r="F10" s="168"/>
      <c r="G10" s="426"/>
      <c r="H10" s="359">
        <f>0+0+5</f>
        <v>5</v>
      </c>
      <c r="I10" s="359"/>
      <c r="J10" s="359">
        <f t="shared" si="1"/>
        <v>5</v>
      </c>
      <c r="K10" s="359">
        <f t="shared" ref="K10:K14" si="2">H10</f>
        <v>5</v>
      </c>
      <c r="L10" s="168">
        <v>5</v>
      </c>
      <c r="M10" s="435">
        <f>L10*100/K10</f>
        <v>100</v>
      </c>
      <c r="N10" s="360">
        <v>5</v>
      </c>
      <c r="O10" s="360">
        <v>5</v>
      </c>
      <c r="P10" s="360">
        <v>5</v>
      </c>
      <c r="Q10" s="159">
        <v>5</v>
      </c>
    </row>
    <row r="11" spans="1:17" s="100" customFormat="1" ht="28.5" customHeight="1">
      <c r="A11" s="160" t="s">
        <v>9</v>
      </c>
      <c r="B11" s="65">
        <f>0+2+10</f>
        <v>12</v>
      </c>
      <c r="C11" s="65"/>
      <c r="D11" s="65">
        <f t="shared" si="0"/>
        <v>12</v>
      </c>
      <c r="E11" s="65">
        <f>0+2</f>
        <v>2</v>
      </c>
      <c r="F11" s="168"/>
      <c r="G11" s="426"/>
      <c r="H11" s="359">
        <f>0+0+12</f>
        <v>12</v>
      </c>
      <c r="I11" s="359"/>
      <c r="J11" s="359">
        <f t="shared" si="1"/>
        <v>12</v>
      </c>
      <c r="K11" s="359">
        <f t="shared" si="2"/>
        <v>12</v>
      </c>
      <c r="L11" s="168">
        <v>12</v>
      </c>
      <c r="M11" s="435">
        <f t="shared" ref="M11:M12" si="3">L11*100/K11</f>
        <v>100</v>
      </c>
      <c r="N11" s="360">
        <v>12</v>
      </c>
      <c r="O11" s="360">
        <v>12</v>
      </c>
      <c r="P11" s="360">
        <v>12</v>
      </c>
      <c r="Q11" s="159">
        <v>12</v>
      </c>
    </row>
    <row r="12" spans="1:17" s="100" customFormat="1" ht="28.5" customHeight="1">
      <c r="A12" s="156" t="s">
        <v>10</v>
      </c>
      <c r="B12" s="65">
        <f>0+0+4</f>
        <v>4</v>
      </c>
      <c r="C12" s="65"/>
      <c r="D12" s="65">
        <f t="shared" si="0"/>
        <v>4</v>
      </c>
      <c r="E12" s="65"/>
      <c r="F12" s="168"/>
      <c r="G12" s="426"/>
      <c r="H12" s="359">
        <f>0+0+5</f>
        <v>5</v>
      </c>
      <c r="I12" s="359"/>
      <c r="J12" s="359">
        <f t="shared" si="1"/>
        <v>5</v>
      </c>
      <c r="K12" s="359">
        <f t="shared" si="2"/>
        <v>5</v>
      </c>
      <c r="L12" s="168">
        <v>5</v>
      </c>
      <c r="M12" s="435">
        <f t="shared" si="3"/>
        <v>100</v>
      </c>
      <c r="N12" s="360">
        <v>4</v>
      </c>
      <c r="O12" s="360">
        <v>5</v>
      </c>
      <c r="P12" s="360">
        <v>4</v>
      </c>
      <c r="Q12" s="159">
        <v>5</v>
      </c>
    </row>
    <row r="13" spans="1:17" s="100" customFormat="1" ht="28.5" customHeight="1">
      <c r="A13" s="156" t="s">
        <v>11</v>
      </c>
      <c r="B13" s="65">
        <f>0+4+20</f>
        <v>24</v>
      </c>
      <c r="C13" s="65"/>
      <c r="D13" s="65">
        <f t="shared" si="0"/>
        <v>24</v>
      </c>
      <c r="E13" s="65">
        <f>0+4</f>
        <v>4</v>
      </c>
      <c r="F13" s="168">
        <v>4</v>
      </c>
      <c r="G13" s="426">
        <f>F13*100/E13</f>
        <v>100</v>
      </c>
      <c r="H13" s="359">
        <f>0+4+20</f>
        <v>24</v>
      </c>
      <c r="I13" s="359"/>
      <c r="J13" s="359">
        <f t="shared" si="1"/>
        <v>24</v>
      </c>
      <c r="K13" s="359">
        <f t="shared" si="2"/>
        <v>24</v>
      </c>
      <c r="L13" s="168">
        <v>24</v>
      </c>
      <c r="M13" s="435">
        <f>L13*100/K13</f>
        <v>100</v>
      </c>
      <c r="N13" s="360">
        <v>23</v>
      </c>
      <c r="O13" s="360">
        <v>24</v>
      </c>
      <c r="P13" s="360">
        <v>24</v>
      </c>
      <c r="Q13" s="501">
        <v>23</v>
      </c>
    </row>
    <row r="14" spans="1:17" s="100" customFormat="1" ht="28.5" customHeight="1">
      <c r="A14" s="163" t="s">
        <v>12</v>
      </c>
      <c r="B14" s="65">
        <f>6+0+0</f>
        <v>6</v>
      </c>
      <c r="C14" s="65"/>
      <c r="D14" s="65">
        <f t="shared" si="0"/>
        <v>6</v>
      </c>
      <c r="E14" s="65">
        <f>6+0</f>
        <v>6</v>
      </c>
      <c r="F14" s="168">
        <v>1</v>
      </c>
      <c r="G14" s="426"/>
      <c r="H14" s="359">
        <f>0+1+5</f>
        <v>6</v>
      </c>
      <c r="I14" s="359"/>
      <c r="J14" s="359">
        <f t="shared" si="1"/>
        <v>6</v>
      </c>
      <c r="K14" s="359">
        <f t="shared" si="2"/>
        <v>6</v>
      </c>
      <c r="L14" s="168">
        <v>6</v>
      </c>
      <c r="M14" s="435">
        <f>L14*100/K14</f>
        <v>100</v>
      </c>
      <c r="N14" s="360">
        <v>6</v>
      </c>
      <c r="O14" s="360">
        <v>6</v>
      </c>
      <c r="P14" s="360">
        <v>6</v>
      </c>
      <c r="Q14" s="159">
        <v>6</v>
      </c>
    </row>
    <row r="15" spans="1:17" s="83" customFormat="1" ht="31.5" customHeight="1">
      <c r="A15" s="319" t="s">
        <v>5</v>
      </c>
      <c r="B15" s="38">
        <f>SUM(B8:B14)</f>
        <v>69</v>
      </c>
      <c r="C15" s="38">
        <f t="shared" ref="C15:D15" si="4">SUM(C8:C14)</f>
        <v>0</v>
      </c>
      <c r="D15" s="38">
        <f t="shared" si="4"/>
        <v>69</v>
      </c>
      <c r="E15" s="37">
        <f>SUM(E8:E14)</f>
        <v>26</v>
      </c>
      <c r="F15" s="37">
        <f>SUM(F8:F14)</f>
        <v>18</v>
      </c>
      <c r="G15" s="427">
        <f>F15*10/E15</f>
        <v>6.9230769230769234</v>
      </c>
      <c r="H15" s="356">
        <f>SUM(H8:H14)</f>
        <v>70</v>
      </c>
      <c r="I15" s="356">
        <f t="shared" ref="I15:K15" si="5">SUM(I8:I14)</f>
        <v>0</v>
      </c>
      <c r="J15" s="356">
        <f t="shared" si="5"/>
        <v>70</v>
      </c>
      <c r="K15" s="356">
        <f t="shared" si="5"/>
        <v>70</v>
      </c>
      <c r="L15" s="37">
        <f>SUM(L8:L14)</f>
        <v>70</v>
      </c>
      <c r="M15" s="428">
        <f>L15*100/K15</f>
        <v>100</v>
      </c>
      <c r="N15" s="37">
        <f>SUM(N8:N14)</f>
        <v>68</v>
      </c>
      <c r="O15" s="37">
        <f t="shared" ref="O15:P15" si="6">SUM(O8:O14)</f>
        <v>70</v>
      </c>
      <c r="P15" s="37">
        <f t="shared" si="6"/>
        <v>69</v>
      </c>
      <c r="Q15" s="240">
        <f>SUM(Q8:Q14)</f>
        <v>69</v>
      </c>
    </row>
    <row r="16" spans="1:17" ht="48" customHeight="1" thickBot="1"/>
    <row r="17" spans="1:17" ht="20.25" customHeight="1">
      <c r="A17" s="178" t="s">
        <v>37</v>
      </c>
      <c r="B17" s="179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253"/>
    </row>
    <row r="18" spans="1:17" ht="18.75" customHeight="1">
      <c r="A18" s="180" t="s">
        <v>13</v>
      </c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254"/>
    </row>
    <row r="19" spans="1:17" s="100" customFormat="1" ht="18.75" customHeight="1">
      <c r="A19" s="354" t="s">
        <v>176</v>
      </c>
      <c r="C19" s="365"/>
      <c r="D19" s="366"/>
      <c r="E19" s="366"/>
      <c r="F19" s="366"/>
      <c r="G19" s="366"/>
      <c r="H19" s="361" t="s">
        <v>199</v>
      </c>
      <c r="I19" s="366"/>
      <c r="J19" s="366"/>
      <c r="K19" s="366"/>
      <c r="L19" s="351"/>
      <c r="M19" s="351"/>
      <c r="N19" s="351"/>
      <c r="O19" s="351"/>
      <c r="P19" s="351"/>
      <c r="Q19" s="352"/>
    </row>
    <row r="20" spans="1:17" s="100" customFormat="1" ht="18.75" customHeight="1">
      <c r="A20" s="180"/>
      <c r="C20" s="365"/>
      <c r="D20" s="366"/>
      <c r="E20" s="366"/>
      <c r="F20" s="366"/>
      <c r="G20" s="366"/>
      <c r="H20" s="361" t="s">
        <v>200</v>
      </c>
      <c r="I20" s="366"/>
      <c r="J20" s="366"/>
      <c r="K20" s="366"/>
      <c r="L20" s="351"/>
      <c r="M20" s="351"/>
      <c r="N20" s="351"/>
      <c r="O20" s="351"/>
      <c r="P20" s="351"/>
      <c r="Q20" s="352"/>
    </row>
    <row r="21" spans="1:17" s="100" customFormat="1" ht="18.75" customHeight="1">
      <c r="A21" s="180"/>
      <c r="C21" s="365"/>
      <c r="D21" s="366"/>
      <c r="E21" s="366"/>
      <c r="F21" s="366"/>
      <c r="G21" s="366"/>
      <c r="H21" s="361" t="s">
        <v>201</v>
      </c>
      <c r="I21" s="366"/>
      <c r="J21" s="366"/>
      <c r="K21" s="366"/>
      <c r="L21" s="351"/>
      <c r="M21" s="351"/>
      <c r="N21" s="351"/>
      <c r="O21" s="351"/>
      <c r="P21" s="351"/>
      <c r="Q21" s="352"/>
    </row>
    <row r="22" spans="1:17" s="100" customFormat="1" ht="18.75" customHeight="1">
      <c r="A22" s="180"/>
      <c r="C22" s="365"/>
      <c r="D22" s="366"/>
      <c r="E22" s="366"/>
      <c r="F22" s="366"/>
      <c r="G22" s="366"/>
      <c r="H22" s="361" t="s">
        <v>202</v>
      </c>
      <c r="I22" s="366"/>
      <c r="J22" s="366"/>
      <c r="K22" s="366"/>
      <c r="L22" s="351"/>
      <c r="M22" s="351"/>
      <c r="N22" s="351"/>
      <c r="O22" s="351"/>
      <c r="P22" s="351"/>
      <c r="Q22" s="352"/>
    </row>
    <row r="23" spans="1:17" s="100" customFormat="1" ht="18.75" customHeight="1">
      <c r="A23" s="180"/>
      <c r="C23" s="365"/>
      <c r="D23" s="366"/>
      <c r="E23" s="366"/>
      <c r="F23" s="366"/>
      <c r="G23" s="366"/>
      <c r="H23" s="361" t="s">
        <v>203</v>
      </c>
      <c r="I23" s="366"/>
      <c r="J23" s="366"/>
      <c r="K23" s="366"/>
      <c r="L23" s="351"/>
      <c r="M23" s="351"/>
      <c r="N23" s="351"/>
      <c r="O23" s="351"/>
      <c r="P23" s="351"/>
      <c r="Q23" s="352"/>
    </row>
    <row r="24" spans="1:17" s="100" customFormat="1" ht="18.75" customHeight="1">
      <c r="A24" s="180"/>
      <c r="C24" s="365"/>
      <c r="D24" s="366"/>
      <c r="E24" s="366"/>
      <c r="F24" s="366"/>
      <c r="G24" s="366"/>
      <c r="H24" s="361" t="s">
        <v>204</v>
      </c>
      <c r="I24" s="366"/>
      <c r="J24" s="366"/>
      <c r="K24" s="366"/>
      <c r="L24" s="351"/>
      <c r="M24" s="351"/>
      <c r="N24" s="351"/>
      <c r="O24" s="351"/>
      <c r="P24" s="351"/>
      <c r="Q24" s="352"/>
    </row>
    <row r="25" spans="1:17" s="100" customFormat="1" ht="18.75" customHeight="1">
      <c r="A25" s="180"/>
      <c r="C25" s="365"/>
      <c r="D25" s="366"/>
      <c r="E25" s="366"/>
      <c r="F25" s="366"/>
      <c r="G25" s="366"/>
      <c r="H25" s="361" t="s">
        <v>205</v>
      </c>
      <c r="I25" s="366"/>
      <c r="J25" s="366"/>
      <c r="K25" s="366"/>
      <c r="L25" s="351"/>
      <c r="M25" s="351"/>
      <c r="N25" s="351"/>
      <c r="O25" s="351"/>
      <c r="P25" s="351"/>
      <c r="Q25" s="352"/>
    </row>
    <row r="26" spans="1:17" s="100" customFormat="1" ht="18.75" customHeight="1">
      <c r="A26" s="180"/>
      <c r="C26" s="365"/>
      <c r="D26" s="366"/>
      <c r="E26" s="366"/>
      <c r="F26" s="366"/>
      <c r="G26" s="366"/>
      <c r="H26" s="361" t="s">
        <v>206</v>
      </c>
      <c r="I26" s="366"/>
      <c r="J26" s="366"/>
      <c r="K26" s="366"/>
      <c r="L26" s="351"/>
      <c r="M26" s="351"/>
      <c r="N26" s="351"/>
      <c r="O26" s="351"/>
      <c r="P26" s="351"/>
      <c r="Q26" s="352"/>
    </row>
    <row r="27" spans="1:17" s="100" customFormat="1" ht="18.75" customHeight="1">
      <c r="A27" s="180" t="s">
        <v>186</v>
      </c>
      <c r="C27" s="365"/>
      <c r="D27" s="366"/>
      <c r="E27" s="366"/>
      <c r="F27" s="366"/>
      <c r="G27" s="366"/>
      <c r="H27" s="361" t="s">
        <v>207</v>
      </c>
      <c r="I27" s="366"/>
      <c r="J27" s="366"/>
      <c r="K27" s="366"/>
      <c r="L27" s="351"/>
      <c r="M27" s="351"/>
      <c r="N27" s="351"/>
      <c r="O27" s="351"/>
      <c r="P27" s="351"/>
      <c r="Q27" s="352"/>
    </row>
    <row r="28" spans="1:17" s="100" customFormat="1" ht="18.75" customHeight="1">
      <c r="A28" s="180"/>
      <c r="C28" s="365"/>
      <c r="D28" s="366"/>
      <c r="E28" s="366"/>
      <c r="F28" s="366"/>
      <c r="G28" s="366"/>
      <c r="H28" s="361" t="s">
        <v>208</v>
      </c>
      <c r="I28" s="366"/>
      <c r="J28" s="366"/>
      <c r="K28" s="366"/>
      <c r="L28" s="351"/>
      <c r="M28" s="351"/>
      <c r="N28" s="351"/>
      <c r="O28" s="351"/>
      <c r="P28" s="351"/>
      <c r="Q28" s="352"/>
    </row>
    <row r="29" spans="1:17" s="100" customFormat="1" ht="18.75" customHeight="1">
      <c r="A29" s="180"/>
      <c r="C29" s="365"/>
      <c r="D29" s="366"/>
      <c r="E29" s="366"/>
      <c r="F29" s="366"/>
      <c r="G29" s="366"/>
      <c r="H29" s="361"/>
      <c r="I29" s="366"/>
      <c r="J29" s="366"/>
      <c r="K29" s="366"/>
      <c r="L29" s="351"/>
      <c r="M29" s="351"/>
      <c r="N29" s="351"/>
      <c r="O29" s="351"/>
      <c r="P29" s="351"/>
      <c r="Q29" s="352"/>
    </row>
    <row r="30" spans="1:17" s="100" customFormat="1" ht="18.75" customHeight="1">
      <c r="A30" s="180" t="s">
        <v>34</v>
      </c>
      <c r="C30" s="365"/>
      <c r="D30" s="366"/>
      <c r="E30" s="366"/>
      <c r="F30" s="366"/>
      <c r="G30" s="366"/>
      <c r="H30" s="361" t="s">
        <v>209</v>
      </c>
      <c r="I30" s="366"/>
      <c r="J30" s="366"/>
      <c r="K30" s="366"/>
      <c r="L30" s="351"/>
      <c r="M30" s="351"/>
      <c r="N30" s="351"/>
      <c r="O30" s="351"/>
      <c r="P30" s="351"/>
      <c r="Q30" s="352"/>
    </row>
    <row r="31" spans="1:17" ht="12.75" customHeight="1" thickBot="1">
      <c r="A31" s="181"/>
      <c r="B31" s="62"/>
      <c r="C31" s="62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255"/>
    </row>
  </sheetData>
  <mergeCells count="19">
    <mergeCell ref="M6:M7"/>
    <mergeCell ref="N6:P6"/>
    <mergeCell ref="Q6:Q7"/>
    <mergeCell ref="A1:Q1"/>
    <mergeCell ref="A2:Q2"/>
    <mergeCell ref="A4:A7"/>
    <mergeCell ref="B4:G4"/>
    <mergeCell ref="H4:Q4"/>
    <mergeCell ref="B5:E5"/>
    <mergeCell ref="F5:G6"/>
    <mergeCell ref="H5:K5"/>
    <mergeCell ref="B6:C6"/>
    <mergeCell ref="D6:D7"/>
    <mergeCell ref="E6:E7"/>
    <mergeCell ref="H6:I6"/>
    <mergeCell ref="J6:J7"/>
    <mergeCell ref="K6:K7"/>
    <mergeCell ref="L6:L7"/>
    <mergeCell ref="L5:Q5"/>
  </mergeCells>
  <pageMargins left="1.52" right="0" top="0.31496062992125984" bottom="0" header="0" footer="0"/>
  <pageSetup paperSize="9" scale="70" orientation="landscape" r:id="rId1"/>
  <headerFooter alignWithMargins="0">
    <oddFooter>&amp;C&amp;8&amp;Z&amp;F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14</vt:i4>
      </vt:variant>
    </vt:vector>
  </HeadingPairs>
  <TitlesOfParts>
    <vt:vector size="14" baseType="lpstr">
      <vt:lpstr>(PA-RA1)_งานสอบบัญชี</vt:lpstr>
      <vt:lpstr>(PA-RA2)_งานสอนแนะอบรม</vt:lpstr>
      <vt:lpstr>(PA-RA3)_งานวางระบบบัญชี</vt:lpstr>
      <vt:lpstr>(PA-RA4)งานติดตามความเคลื่อนไหว</vt:lpstr>
      <vt:lpstr>(PA-RA5)_ควบคุมคุณภาพ-ภาครัฐ</vt:lpstr>
      <vt:lpstr>(PA-RA6)_งานพัฒนาระบบบัญชี</vt:lpstr>
      <vt:lpstr>(PB-RB1)_งานสอบภาคเอกชน</vt:lpstr>
      <vt:lpstr>(PA-RA7)_พิสูจน์ความมีอยู่จริง</vt:lpstr>
      <vt:lpstr>(PA-RA8)_Scan ธุรกิจ</vt:lpstr>
      <vt:lpstr>(RA9)_สหกรณ์มีปัญหาพิเศษ</vt:lpstr>
      <vt:lpstr>(PB-RB1)_สอบบัญชีภาคเอกชน</vt:lpstr>
      <vt:lpstr>(PB-RB2)_กำกับสหกรณ์ภาคเอกชน</vt:lpstr>
      <vt:lpstr>(PB-RB3)_ควบคุมคุณภาพ-ภาคเอกชน</vt:lpstr>
      <vt:lpstr>(PB-RB4)_เตรียมความพร้อมโอนออก</vt:lpstr>
    </vt:vector>
  </TitlesOfParts>
  <Company>Org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</dc:creator>
  <cp:lastModifiedBy>uraiwan</cp:lastModifiedBy>
  <cp:lastPrinted>2016-02-02T04:21:33Z</cp:lastPrinted>
  <dcterms:created xsi:type="dcterms:W3CDTF">2009-12-14T03:39:28Z</dcterms:created>
  <dcterms:modified xsi:type="dcterms:W3CDTF">2016-02-02T04:24:09Z</dcterms:modified>
</cp:coreProperties>
</file>